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hWXxTSiUKFQTEciT2Po+z/+gsnSdMLGT8tUX4S+UpThQfuUFScEnlSMcETA/jV2YL7m6cVr/aRY9Y2Xvs4E7LQ==" workbookSaltValue="iLIA02jGP9z9npVrNO4lP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EP31" i="8"/>
  <c r="ER31" i="13"/>
  <c r="EP31" i="19"/>
  <c r="Q18" i="20"/>
  <c r="Q23" i="20" s="1"/>
  <c r="BG22" i="11"/>
  <c r="S14" i="16"/>
  <c r="P14" i="16"/>
  <c r="F13" i="16"/>
  <c r="N30" i="16"/>
  <c r="H14" i="21"/>
  <c r="K26" i="2"/>
  <c r="K23" i="2"/>
  <c r="N26" i="2"/>
  <c r="M14" i="2"/>
  <c r="M23" i="2"/>
  <c r="N14" i="2"/>
  <c r="G26" i="2"/>
  <c r="N23" i="2"/>
  <c r="K30" i="2"/>
  <c r="F30" i="17"/>
  <c r="F14" i="7"/>
  <c r="BI25" i="11"/>
  <c r="BI19" i="11"/>
  <c r="AZ13" i="11"/>
  <c r="AZ9" i="11"/>
  <c r="AZ14" i="11" s="1"/>
  <c r="BJ28" i="11"/>
  <c r="BU11" i="17"/>
  <c r="BU21" i="17"/>
  <c r="BW17" i="20"/>
  <c r="BW16" i="20"/>
  <c r="BV10" i="16"/>
  <c r="S11" i="17"/>
  <c r="T14" i="16"/>
  <c r="R28" i="14"/>
  <c r="T17" i="11"/>
  <c r="BF12" i="11"/>
  <c r="BK20" i="11"/>
  <c r="Q16" i="17"/>
  <c r="BL22" i="11"/>
  <c r="BK10" i="11"/>
  <c r="T14" i="20"/>
  <c r="BF25" i="8"/>
  <c r="BG16" i="8"/>
  <c r="BD9" i="8"/>
  <c r="BF9" i="8"/>
  <c r="L28" i="2"/>
  <c r="X21" i="20"/>
  <c r="C30" i="7"/>
  <c r="S16" i="17"/>
  <c r="L12" i="2"/>
  <c r="L13" i="2"/>
  <c r="AO14" i="21"/>
  <c r="U9" i="17"/>
  <c r="U31" i="17" s="1"/>
  <c r="AP14" i="16"/>
  <c r="X13" i="16"/>
  <c r="T23" i="17"/>
  <c r="T26" i="17" s="1"/>
  <c r="T30" i="17" s="1"/>
  <c r="BG16" i="13"/>
  <c r="BE17" i="13"/>
  <c r="BE16" i="13"/>
  <c r="X32" i="20"/>
  <c r="G30" i="14"/>
  <c r="G23" i="14"/>
  <c r="BF18" i="8" l="1"/>
  <c r="J18" i="7" s="1"/>
  <c r="BF17" i="8"/>
  <c r="BD12" i="8"/>
  <c r="AY14" i="8"/>
  <c r="B16" i="6"/>
  <c r="V25" i="16"/>
  <c r="L9" i="2"/>
  <c r="L19" i="2"/>
  <c r="X10" i="21"/>
  <c r="L25" i="2"/>
  <c r="S17" i="17"/>
  <c r="L10" i="2"/>
  <c r="BH22" i="11"/>
  <c r="BL17" i="11"/>
  <c r="BI22" i="11"/>
  <c r="BF16" i="11"/>
  <c r="BJ10" i="11"/>
  <c r="BH25" i="16"/>
  <c r="P16" i="17"/>
  <c r="X16" i="17"/>
  <c r="AZ22" i="11"/>
  <c r="BV20" i="16"/>
  <c r="BU18" i="17"/>
  <c r="U10" i="17"/>
  <c r="BV25" i="16"/>
  <c r="BV17" i="16"/>
  <c r="BW9" i="20"/>
  <c r="BU28" i="17"/>
  <c r="BM20" i="11"/>
  <c r="BL25" i="11"/>
  <c r="AP22" i="20"/>
  <c r="V13" i="11"/>
  <c r="BK21" i="11"/>
  <c r="AZ19" i="11"/>
  <c r="BF18" i="11"/>
  <c r="BG25" i="11"/>
  <c r="Z14" i="17"/>
  <c r="V9" i="16"/>
  <c r="AA9" i="16"/>
  <c r="L21" i="2"/>
  <c r="AA11" i="16"/>
  <c r="L20" i="2"/>
  <c r="L18" i="2"/>
  <c r="X19" i="16"/>
  <c r="L17" i="2"/>
  <c r="L16" i="2"/>
  <c r="L29" i="2"/>
  <c r="L22"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V16"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T13" i="11"/>
  <c r="T21" i="11"/>
  <c r="T25" i="11"/>
  <c r="T29"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F29" i="2"/>
  <c r="AL29" i="11"/>
  <c r="L12" i="14"/>
  <c r="AM12" i="11"/>
  <c r="G14" i="2"/>
  <c r="D12" i="2"/>
  <c r="AO12" i="11"/>
  <c r="E12" i="6"/>
  <c r="D10" i="2"/>
  <c r="AO10" i="11"/>
  <c r="E10" i="6"/>
  <c r="L13" i="14"/>
  <c r="J13" i="2"/>
  <c r="D19" i="2"/>
  <c r="AO19" i="11"/>
  <c r="C23" i="2"/>
  <c r="D23" i="2" s="1"/>
  <c r="I9" i="7"/>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0" i="11"/>
  <c r="AL32" i="20"/>
  <c r="J18" i="12" l="1"/>
  <c r="K9" i="12"/>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<sst xmlns="http://schemas.openxmlformats.org/spreadsheetml/2006/main" count="2682" uniqueCount="1193">
  <si>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</si>
  <si>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</si>
  <si>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</si>
  <si>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</si>
  <si>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</si>
  <si>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</si>
  <si>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</si>
  <si>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</si>
  <si>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</si>
  <si>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</si>
  <si>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</si>
  <si>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</si>
  <si>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</si>
  <si>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</si>
  <si>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</si>
  <si>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</si>
  <si>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</si>
  <si>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</si>
  <si>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</si>
  <si>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</si>
  <si>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</si>
  <si>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</si>
  <si>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</si>
  <si>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</si>
  <si>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</si>
  <si>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</si>
  <si>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</si>
  <si>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</si>
  <si>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</si>
  <si>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</si>
  <si>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</si>
  <si>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</si>
  <si>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</si>
  <si>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</si>
  <si>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</si>
  <si>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</si>
  <si>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</si>
  <si>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</si>
  <si>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</si>
  <si>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</si>
  <si>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</si>
  <si>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</si>
  <si>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</si>
  <si>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</si>
  <si>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</si>
  <si>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</si>
  <si>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</si>
  <si>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</si>
  <si>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</si>
  <si>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</si>
  <si>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</si>
  <si>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</si>
  <si>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</si>
  <si>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</si>
  <si>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</si>
  <si>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</si>
  <si>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</si>
  <si>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</si>
  <si>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</si>
  <si>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</si>
  <si>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</si>
  <si>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</si>
  <si>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</si>
  <si>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</si>
  <si>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</si>
  <si>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</si>
  <si>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</si>
  <si>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</si>
  <si>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</si>
  <si>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</si>
  <si>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</si>
  <si>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</si>
  <si>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</si>
  <si>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</si>
  <si>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</si>
  <si>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</si>
  <si>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</si>
  <si>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</si>
  <si>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</si>
  <si>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</si>
  <si>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</si>
  <si>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</si>
  <si>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</si>
  <si>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</si>
  <si>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</si>
  <si>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</si>
  <si>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</si>
  <si>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</si>
  <si>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</si>
  <si>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</si>
  <si>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</si>
  <si>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</si>
  <si>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</si>
  <si>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</si>
  <si>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</si>
  <si>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</si>
  <si>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</si>
  <si>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</si>
  <si>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</si>
  <si>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</si>
  <si>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</si>
  <si>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</si>
  <si>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</si>
  <si>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</si>
  <si>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</si>
  <si>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</si>
  <si>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</si>
  <si>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</si>
  <si>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</si>
  <si>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</si>
  <si>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</si>
  <si>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</si>
  <si>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</si>
  <si>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</si>
  <si>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</si>
  <si>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</si>
  <si>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</si>
  <si>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</si>
  <si>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</si>
  <si>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</si>
  <si>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</si>
  <si>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</si>
  <si>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</si>
  <si>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</si>
  <si>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</si>
  <si>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</si>
  <si>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</si>
  <si>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</si>
  <si>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</si>
  <si>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</si>
  <si>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</si>
  <si>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</si>
  <si>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</si>
  <si>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</si>
  <si>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</si>
  <si>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</si>
  <si>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</si>
  <si>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</si>
  <si>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</si>
  <si>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</si>
  <si>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</si>
  <si>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</si>
  <si>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</si>
  <si>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</si>
  <si>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</si>
  <si>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</si>
  <si>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</si>
  <si>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</si>
  <si>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</si>
  <si>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</si>
  <si>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</si>
  <si>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</si>
  <si>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</si>
  <si>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</si>
  <si>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</si>
  <si>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</si>
  <si>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</si>
  <si>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</si>
  <si>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</si>
  <si>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</si>
  <si>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</si>
  <si>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</si>
  <si>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</si>
  <si>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</si>
  <si>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</si>
  <si>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</si>
  <si>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</si>
  <si>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</si>
  <si>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</si>
  <si>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</si>
  <si>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</si>
  <si>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</si>
  <si>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</si>
  <si>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</si>
  <si>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</si>
  <si>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</si>
  <si>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</si>
  <si>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</si>
  <si>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</si>
  <si>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</si>
  <si>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</si>
  <si>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</si>
  <si>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</si>
  <si>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</si>
  <si>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</si>
  <si>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</si>
  <si>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</si>
  <si>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</si>
  <si>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</si>
  <si>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</si>
  <si>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</si>
  <si>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</si>
  <si>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</si>
  <si>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</si>
  <si>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</si>
  <si>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</si>
  <si>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</si>
  <si>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</si>
  <si>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</si>
  <si>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</si>
  <si>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</si>
  <si>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</si>
  <si>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</si>
  <si>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</si>
  <si>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</si>
  <si>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</si>
  <si>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</si>
  <si>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</si>
  <si>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</si>
  <si>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</si>
  <si>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</si>
  <si>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</si>
  <si>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</si>
  <si>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</si>
  <si>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</si>
  <si>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</si>
  <si>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</si>
  <si>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</si>
  <si>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</si>
  <si>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</si>
  <si>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</si>
  <si>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</si>
  <si>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</si>
  <si>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</si>
  <si>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</si>
  <si>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</si>
  <si>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</si>
  <si>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</si>
  <si>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</si>
  <si>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</si>
  <si>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</si>
  <si>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</si>
  <si>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</si>
  <si>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</si>
  <si>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</si>
  <si>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</si>
  <si>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</si>
  <si>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</si>
  <si>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</si>
  <si>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</si>
  <si>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</si>
  <si>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</si>
  <si>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</si>
  <si>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</si>
  <si>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</si>
  <si>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</si>
  <si>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</si>
  <si>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</si>
  <si>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</si>
  <si>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</si>
  <si>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</si>
  <si>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</si>
  <si>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</si>
  <si>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</si>
  <si>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</si>
  <si>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</si>
  <si>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</si>
  <si>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</si>
  <si>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</si>
  <si>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</si>
  <si>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</si>
  <si>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</si>
  <si>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</si>
  <si>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</si>
  <si>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</si>
  <si>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</si>
  <si>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</si>
  <si>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</si>
  <si>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</si>
  <si>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</si>
  <si>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</si>
  <si>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</si>
  <si>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</si>
  <si>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</si>
  <si>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</si>
  <si>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</si>
  <si>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</si>
  <si>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</si>
  <si>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</si>
  <si>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</si>
  <si>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</si>
  <si>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</si>
  <si>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</si>
  <si>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</si>
  <si>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</si>
  <si>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</si>
  <si>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</si>
  <si>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</si>
  <si>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</si>
  <si>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</si>
  <si>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</si>
  <si>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</si>
  <si>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</si>
  <si>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</si>
  <si>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</si>
  <si>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</si>
  <si>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</si>
  <si>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</si>
  <si>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</si>
  <si>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</si>
  <si>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</si>
  <si>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</si>
  <si>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</si>
  <si>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</si>
  <si>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</si>
  <si>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</si>
  <si>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</si>
  <si>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</si>
  <si>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</si>
  <si>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</si>
  <si>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</si>
  <si>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</si>
  <si>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</si>
  <si>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</si>
  <si>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</si>
  <si>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</si>
  <si>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</si>
  <si>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</si>
  <si>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</si>
  <si>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</si>
  <si>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</si>
  <si>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</si>
  <si>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</si>
  <si>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</si>
  <si>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</si>
  <si>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</si>
  <si>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</si>
  <si>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</si>
  <si>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</si>
  <si>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</si>
  <si>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</si>
  <si>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</si>
  <si>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</si>
  <si>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</si>
  <si>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</si>
  <si>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</si>
  <si>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</si>
  <si>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</si>
  <si>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</si>
  <si>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</si>
  <si>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</si>
  <si>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</si>
  <si>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</si>
  <si>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</si>
  <si>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</si>
  <si>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</si>
  <si>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</si>
  <si>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</si>
  <si>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</si>
  <si>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</si>
  <si>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</si>
  <si>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</si>
  <si>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</si>
  <si>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</si>
  <si>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</si>
  <si>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</si>
  <si>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</si>
  <si>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</si>
  <si>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</si>
  <si>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</si>
  <si>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</si>
  <si>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</si>
  <si>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</si>
  <si>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</si>
  <si>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</si>
  <si>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</si>
  <si>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</si>
  <si>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</si>
  <si>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</si>
  <si>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</si>
  <si>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</si>
  <si>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</si>
  <si>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</si>
  <si>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</si>
  <si>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</si>
  <si>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</si>
  <si>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</si>
  <si>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</si>
  <si>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</si>
  <si>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</si>
  <si>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</si>
  <si>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</si>
  <si>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</si>
  <si>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</si>
  <si>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</si>
  <si>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</si>
  <si>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</si>
  <si>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</si>
  <si>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</si>
  <si>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</si>
  <si>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</si>
  <si>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</si>
  <si>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</si>
  <si>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</si>
  <si>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</si>
  <si>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</si>
  <si>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</si>
  <si>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</si>
  <si>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</si>
  <si>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</si>
  <si>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</si>
  <si>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</si>
  <si>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</si>
  <si>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</si>
  <si>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</si>
  <si>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</si>
  <si>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</si>
  <si>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</si>
  <si>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</si>
  <si>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</si>
  <si>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</si>
  <si>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</si>
  <si>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</si>
  <si>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</si>
  <si>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</si>
  <si>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</si>
  <si>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</si>
  <si>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</si>
  <si>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</si>
  <si>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</si>
  <si>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</si>
  <si>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</si>
  <si>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</si>
  <si>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</si>
  <si>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</si>
  <si>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</si>
  <si>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</si>
  <si>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</si>
  <si>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</si>
  <si>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</si>
  <si>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</si>
  <si>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</si>
  <si>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</si>
  <si>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</si>
  <si>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</si>
  <si>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</si>
  <si>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</si>
  <si>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</si>
  <si>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</si>
  <si>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</si>
  <si>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</si>
  <si>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</si>
  <si>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</si>
  <si>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</si>
  <si>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</si>
  <si>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</si>
  <si>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</si>
  <si>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</si>
  <si>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</si>
  <si>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</si>
  <si>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</si>
  <si>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</si>
  <si>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</si>
  <si>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</si>
  <si>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</si>
  <si>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</si>
  <si>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</si>
  <si>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</si>
  <si>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</si>
  <si>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</si>
  <si>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</si>
  <si>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</si>
  <si>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</si>
  <si>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</si>
  <si>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</si>
  <si>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</si>
  <si>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</si>
  <si>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</si>
  <si>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</si>
  <si>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</si>
  <si>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</si>
  <si>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</si>
  <si>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</si>
  <si>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</si>
  <si>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</si>
  <si>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</si>
  <si>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</si>
  <si>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</si>
  <si>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</si>
  <si>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</si>
  <si>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</si>
  <si>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</si>
  <si>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</si>
  <si>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</si>
  <si>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</si>
  <si>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</si>
  <si>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</si>
  <si>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</si>
  <si>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</si>
  <si>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</si>
  <si>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</si>
  <si>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</si>
  <si>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</si>
  <si>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</si>
  <si>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</si>
  <si>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</si>
  <si>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</si>
  <si>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</si>
  <si>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</si>
  <si>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</si>
  <si>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</si>
  <si>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</si>
  <si>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</si>
  <si>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</si>
  <si>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</si>
  <si>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</si>
  <si>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</si>
  <si>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</si>
  <si>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</si>
  <si>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</si>
  <si>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</si>
  <si>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</si>
  <si>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</si>
  <si>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</si>
  <si>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</si>
  <si>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</si>
  <si>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</si>
  <si>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</si>
  <si>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</si>
  <si>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</si>
  <si>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</si>
  <si>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</si>
  <si>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</si>
  <si>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</si>
  <si>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</si>
  <si>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</si>
  <si>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</si>
  <si>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</si>
  <si>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</si>
  <si>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</si>
  <si>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</si>
  <si>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</si>
  <si>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</si>
  <si>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</si>
  <si>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</si>
  <si>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</si>
  <si>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</si>
  <si>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</si>
  <si>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</si>
  <si>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</si>
  <si>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</si>
  <si>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</si>
  <si>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</si>
  <si>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</si>
  <si>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</si>
  <si>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</si>
  <si>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</si>
  <si>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</si>
  <si>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</si>
  <si>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</si>
  <si>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</si>
  <si>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</si>
  <si>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</si>
  <si>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</si>
  <si>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</si>
  <si>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</si>
  <si>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</si>
  <si>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</si>
  <si>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</si>
  <si>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</si>
  <si>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</si>
  <si>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</si>
  <si>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</si>
  <si>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</si>
  <si>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</si>
  <si>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</si>
  <si>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</si>
  <si>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</si>
  <si>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</si>
  <si>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</si>
  <si>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</si>
  <si>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</si>
  <si>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</si>
  <si>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</si>
  <si>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</si>
  <si>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</si>
  <si>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</si>
  <si>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</si>
  <si>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</si>
  <si>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</si>
  <si>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</si>
  <si>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</si>
  <si>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</si>
  <si>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</si>
  <si>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</si>
  <si>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</si>
  <si>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</si>
  <si>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</si>
  <si>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</si>
  <si>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</si>
  <si>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</si>
  <si>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</si>
  <si>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</si>
  <si>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</si>
  <si>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</si>
  <si>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</si>
  <si>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</si>
  <si>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</si>
  <si>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</si>
  <si>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</si>
  <si>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</si>
  <si>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</si>
  <si>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</si>
  <si>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</si>
  <si>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</si>
  <si>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</si>
  <si>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</si>
  <si>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</si>
  <si>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</si>
  <si>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</si>
  <si>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</si>
  <si>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</si>
  <si>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</si>
  <si>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</si>
  <si>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</si>
  <si>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</si>
  <si>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</si>
  <si>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</si>
  <si>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</si>
  <si>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</si>
  <si>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</si>
  <si>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</si>
  <si>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</si>
  <si>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</si>
  <si>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</si>
  <si>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</si>
  <si>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</si>
  <si>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</si>
  <si>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</si>
  <si>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</si>
  <si>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</si>
  <si>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</si>
  <si>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</si>
  <si>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</si>
  <si>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</si>
  <si>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</si>
  <si>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</si>
  <si>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</si>
  <si>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</si>
  <si>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</si>
  <si>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</si>
  <si>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</si>
  <si>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</si>
  <si>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</si>
  <si>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</si>
  <si>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</si>
  <si>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</si>
  <si>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</si>
  <si>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</si>
  <si>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</si>
  <si>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</si>
  <si>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</si>
  <si>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</si>
  <si>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</si>
  <si>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</si>
  <si>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</si>
  <si>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</si>
  <si>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</si>
  <si>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</si>
  <si>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</si>
  <si>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</si>
  <si>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</si>
  <si>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</si>
  <si>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</si>
  <si>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</si>
  <si>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</si>
  <si>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</si>
  <si>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</si>
  <si>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</si>
  <si>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</si>
  <si>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</si>
  <si>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</si>
  <si>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</si>
  <si>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</si>
  <si>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</si>
  <si>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</si>
  <si>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</si>
  <si>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</si>
  <si>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</si>
  <si>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</si>
  <si>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</si>
  <si>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</si>
  <si>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</si>
  <si>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</si>
  <si>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</si>
  <si>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</si>
  <si>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</si>
  <si>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</si>
  <si>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</si>
  <si>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</si>
  <si>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</si>
  <si>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</si>
  <si>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</si>
  <si>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</si>
  <si>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</si>
  <si>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</si>
  <si>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</si>
  <si>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</si>
  <si>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</si>
  <si>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</si>
  <si>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</si>
  <si>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</si>
  <si>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</si>
  <si>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</si>
  <si>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</si>
  <si>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</si>
  <si>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</si>
  <si>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</si>
  <si>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</si>
  <si>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</si>
  <si>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</si>
  <si>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</si>
  <si>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</si>
  <si>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</si>
  <si>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</si>
  <si>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</si>
  <si>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</si>
  <si>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</si>
  <si>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</si>
  <si>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</si>
  <si>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</si>
  <si>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</si>
  <si>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</si>
  <si>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</si>
  <si>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</si>
  <si>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</si>
  <si>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</si>
  <si>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</si>
  <si>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</si>
  <si>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</si>
  <si>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</si>
  <si>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</si>
  <si>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</si>
  <si>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</si>
  <si>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</si>
  <si>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</si>
  <si>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</si>
  <si>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</si>
  <si>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</si>
  <si>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</si>
  <si>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</si>
  <si>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</si>
  <si>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</si>
  <si>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</si>
  <si>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</si>
  <si>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</si>
  <si>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</si>
  <si>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</si>
  <si>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</si>
  <si>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</si>
  <si>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</si>
  <si>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</si>
  <si>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</si>
  <si>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</si>
  <si>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</si>
  <si>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</si>
  <si>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</si>
  <si>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</si>
  <si>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</si>
  <si>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</si>
  <si>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</si>
  <si>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</si>
  <si>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</si>
  <si>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</si>
  <si>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</si>
  <si>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</si>
  <si>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</si>
  <si>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</si>
  <si>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</si>
  <si>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</si>
  <si>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</si>
  <si>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</si>
  <si>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</si>
  <si>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</si>
  <si>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</si>
  <si>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</si>
  <si>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</si>
  <si>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</si>
  <si>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</si>
  <si>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</si>
  <si>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</si>
  <si>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</si>
  <si>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</si>
  <si>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</si>
  <si>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</si>
  <si>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</si>
  <si>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</si>
  <si>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</si>
  <si>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</si>
  <si>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</si>
  <si>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</si>
  <si>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</si>
  <si>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</si>
  <si>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</si>
  <si>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</si>
  <si>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</si>
  <si>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</si>
  <si>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</si>
  <si>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</si>
  <si>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</si>
  <si>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</si>
  <si>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</si>
  <si>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</si>
  <si>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</si>
  <si>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</si>
  <si>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</si>
  <si>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</si>
  <si>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</si>
  <si>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</si>
  <si>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</si>
  <si>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</si>
  <si>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</si>
  <si>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</si>
  <si>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</si>
  <si>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</si>
  <si>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</si>
  <si>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</si>
  <si>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</si>
  <si>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</si>
  <si>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</si>
  <si>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</si>
  <si>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</si>
  <si>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</si>
  <si>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</si>
  <si>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</si>
  <si>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</si>
  <si>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</si>
  <si>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</si>
  <si>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</si>
  <si>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</si>
  <si>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</si>
  <si>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</si>
  <si>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</si>
  <si>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</si>
  <si>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</si>
  <si>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</si>
  <si>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</si>
  <si>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</si>
  <si>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</si>
  <si>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</si>
  <si>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</si>
  <si>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</si>
  <si>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</si>
  <si>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</si>
  <si>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</si>
  <si>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</si>
  <si>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</si>
  <si>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</si>
  <si>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</si>
  <si>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</si>
  <si>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</si>
  <si>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</si>
  <si>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</si>
  <si>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</si>
  <si>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</si>
  <si>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</si>
  <si>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</si>
  <si>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</si>
  <si>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</si>
  <si>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</si>
  <si>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</si>
  <si>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</si>
  <si>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</si>
  <si>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</si>
  <si>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</si>
  <si>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</si>
  <si>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</si>
  <si>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</si>
  <si>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</si>
  <si>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</si>
  <si>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</si>
  <si>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</si>
  <si>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</si>
  <si>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</si>
  <si>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</si>
  <si>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</si>
  <si>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</si>
  <si>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</si>
  <si>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</si>
  <si>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</si>
  <si>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</si>
  <si>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</si>
  <si>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</si>
  <si>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</si>
  <si>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</si>
  <si>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</si>
  <si>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</si>
  <si>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</si>
  <si>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</si>
  <si>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</si>
  <si>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</si>
  <si>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</si>
  <si>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</si>
  <si>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</si>
  <si>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</si>
  <si>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</si>
  <si>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</si>
  <si>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</si>
  <si>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</si>
  <si>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</si>
  <si>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</si>
  <si>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</si>
  <si>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</si>
  <si>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</si>
  <si>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</si>
  <si>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</si>
  <si>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</si>
  <si>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</si>
  <si>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</si>
  <si>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</si>
  <si>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</si>
  <si>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</si>
  <si>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</si>
  <si>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</si>
  <si>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</si>
  <si>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</si>
  <si>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</si>
  <si>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</si>
  <si>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</si>
  <si>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</si>
  <si>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</si>
  <si>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</si>
  <si>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</si>
  <si>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</si>
  <si>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</si>
  <si>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</si>
  <si>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</si>
  <si>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</si>
  <si>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</si>
  <si>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</si>
  <si>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</si>
  <si>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</si>
  <si>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</si>
  <si>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</si>
  <si>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</si>
  <si>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</si>
  <si>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</si>
  <si>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</si>
  <si>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</si>
  <si>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</si>
  <si>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</si>
  <si>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</si>
  <si>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</si>
  <si>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</si>
  <si>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</si>
  <si>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</si>
  <si>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</si>
  <si>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</si>
  <si>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</si>
  <si>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</si>
  <si>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</si>
  <si>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</si>
  <si>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</si>
  <si>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</si>
  <si>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</si>
  <si>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</si>
  <si>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</si>
  <si>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</si>
  <si>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</si>
  <si>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</si>
  <si>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</si>
  <si>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</si>
  <si>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</si>
  <si>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</si>
  <si>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</si>
  <si>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</si>
  <si>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</si>
  <si>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</si>
  <si>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</si>
  <si>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</si>
  <si>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</si>
  <si>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</si>
  <si>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</si>
  <si>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</si>
  <si>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</si>
  <si>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</si>
  <si>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</si>
  <si>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</si>
  <si>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</si>
  <si>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</si>
  <si>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</si>
  <si>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</si>
  <si>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</si>
  <si>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</si>
  <si>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</si>
  <si>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</si>
  <si>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</si>
  <si>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</si>
  <si>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</si>
  <si>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</si>
  <si>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</si>
  <si>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</si>
  <si>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</si>
  <si>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</si>
  <si>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</si>
  <si>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</si>
  <si>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</si>
  <si>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</si>
  <si>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</si>
  <si>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</si>
  <si>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</si>
  <si>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</si>
  <si>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</si>
  <si>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</si>
  <si>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</si>
  <si>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</si>
  <si>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</si>
  <si>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</si>
  <si>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</si>
  <si>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</si>
  <si>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</si>
  <si>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</si>
  <si>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</si>
  <si>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</si>
  <si>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</si>
  <si>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</si>
  <si>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</si>
  <si>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</si>
  <si>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</si>
  <si>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</si>
  <si>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</si>
  <si>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</si>
  <si>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</si>
  <si>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</si>
  <si>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</si>
  <si>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</si>
  <si>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</si>
  <si>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</si>
  <si>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</si>
  <si>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</si>
  <si>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</si>
  <si>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</si>
  <si>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</si>
  <si>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</si>
  <si>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</si>
  <si>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</si>
  <si>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</si>
  <si>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</si>
  <si>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</si>
  <si>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</si>
  <si>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</si>
  <si>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</si>
  <si>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</si>
  <si>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</si>
  <si>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</si>
  <si>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</si>
  <si>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</si>
  <si>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</si>
  <si>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</si>
  <si>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</si>
  <si>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</si>
  <si>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</si>
  <si>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</si>
  <si>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</si>
  <si>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</si>
  <si>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</si>
  <si>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</si>
  <si>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</si>
  <si>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</si>
  <si>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</si>
  <si>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</si>
  <si>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</si>
  <si>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</si>
  <si>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</si>
  <si>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</si>
  <si>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</si>
  <si>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</si>
  <si>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</si>
  <si>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</si>
  <si>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</si>
  <si>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</si>
  <si>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</si>
  <si>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</si>
  <si>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</si>
  <si>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</si>
  <si>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</si>
  <si>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</si>
  <si>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</si>
  <si>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</si>
  <si>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</si>
  <si>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</si>
  <si>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</si>
  <si>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</si>
  <si>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</si>
  <si>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</si>
  <si>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</si>
  <si>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</si>
  <si>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</si>
  <si>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</si>
  <si>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</si>
  <si>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</si>
  <si>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</si>
  <si>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</si>
  <si>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</si>
  <si>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</si>
  <si>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</si>
  <si>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</si>
  <si>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</si>
  <si>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</si>
  <si>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</si>
  <si>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</si>
  <si>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</si>
  <si>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</si>
  <si>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</si>
  <si>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</si>
  <si>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</si>
  <si>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</si>
  <si>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</si>
  <si>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</si>
  <si>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</si>
  <si>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</si>
  <si>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</si>
  <si>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</si>
  <si>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</si>
  <si>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</si>
  <si>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</si>
  <si>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</si>
  <si>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</si>
  <si>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</si>
  <si>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</si>
  <si>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</si>
  <si>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</si>
  <si>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</si>
  <si>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</si>
  <si>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</si>
  <si>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</si>
  <si>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</si>
  <si>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</si>
  <si>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</si>
  <si>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</si>
  <si>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</si>
  <si>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</si>
  <si>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</si>
  <si>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</si>
  <si>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</si>
  <si>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</si>
  <si>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</si>
  <si>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</si>
  <si>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</si>
  <si>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</si>
  <si>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</si>
  <si>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</si>
  <si>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</si>
  <si>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</si>
  <si>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</si>
  <si>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</si>
  <si>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</si>
  <si>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</si>
  <si>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</si>
  <si>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</si>
  <si>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</si>
  <si>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</si>
  <si>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</si>
  <si>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</si>
  <si>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</si>
  <si>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</si>
  <si>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</si>
  <si>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</si>
  <si>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</si>
  <si>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</si>
  <si>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</si>
  <si>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</si>
  <si>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</si>
  <si>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</si>
  <si>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</si>
  <si>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</si>
  <si>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</si>
  <si>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</si>
  <si>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</si>
  <si>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</si>
  <si>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</si>
  <si>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</si>
  <si>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</si>
  <si>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</si>
  <si>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</si>
  <si>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</si>
  <si>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</si>
  <si>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</si>
  <si>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</si>
  <si>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</si>
  <si>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</si>
  <si>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</si>
  <si>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</si>
  <si>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</si>
  <si>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</si>
  <si>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</si>
  <si>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</si>
  <si>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</si>
  <si>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</si>
  <si>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</si>
  <si>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PONTEVEDRA</t>
  </si>
  <si>
    <t>Resumenes por Partidos Judiciales</t>
  </si>
  <si>
    <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</si>
</sst>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2BbjcV0PFHocL/dB6Y497xTIHmWayJjeq69+R+E+phvTUQkP+cXPGTs6JXNcPkKP39og1xLVQacyCO9VCdCAQ==" saltValue="fx7lqYavJLPY57+JoT3/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8</v>
      </c>
      <c r="F10" s="240">
        <f>IF(ISNUMBER(Datos!K10),Datos!K10," - ")</f>
        <v>12</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9.1666666666666679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8.3998584571832975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8</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270</v>
      </c>
      <c r="D17" s="239">
        <f>IF(ISNUMBER(IF(D_I="SI",Datos!I17,Datos!I17+Datos!AC17)),IF(D_I="SI",Datos!I17,Datos!I17+Datos!AC17)," - ")</f>
        <v>268</v>
      </c>
      <c r="E17" s="240">
        <f>IF(ISNUMBER(IF(D_I="SI",Datos!J17,Datos!J17+Datos!AD17)),IF(D_I="SI",Datos!J17,Datos!J17+Datos!AD17)," - ")</f>
        <v>1035</v>
      </c>
      <c r="F17" s="240">
        <f>IF(ISNUMBER(IF(D_I="SI",Datos!K17,Datos!K17+Datos!AE17)),IF(D_I="SI",Datos!K17,Datos!K17+Datos!AE17)," - ")</f>
        <v>935</v>
      </c>
      <c r="G17" s="1390" t="str">
        <f>IF(Datos!E17&lt;&gt;"",Datos!E17,Datos!D17)</f>
        <v>04</v>
      </c>
      <c r="H17" s="241">
        <f>IF(ISNUMBER(IF(D_I="SI",Datos!L17,Datos!L17+Datos!AF17)),IF(D_I="SI",Datos!L17,Datos!L17+Datos!AF17)," - ")</f>
        <v>370</v>
      </c>
      <c r="I17" s="1400" t="str">
        <f>IF(ISNUMBER(Datos!AS17/Datos!BM17),Datos!AS17/Datos!BM17," - ")</f>
        <v xml:space="preserve"> - </v>
      </c>
      <c r="J17" s="1401">
        <f>IF(ISNUMBER(Datos!BY17/Datos!CN17),Datos!BY17/Datos!CN17," - ")</f>
        <v>0</v>
      </c>
      <c r="K17" s="244">
        <f t="shared" si="3"/>
        <v>0.37037037037037035</v>
      </c>
      <c r="L17" s="1402">
        <f>IF(ISNUMBER(NºAsuntos!I17/NºAsuntos!G17),(NºAsuntos!I17/NºAsuntos!G17)*11," - ")</f>
        <v>4.3529411764705888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21</v>
      </c>
      <c r="E18" s="240">
        <f>IF(ISNUMBER(IF(D_I="SI",Datos!J18,Datos!J18+Datos!AD18)),IF(D_I="SI",Datos!J18,Datos!J18+Datos!AD18)," - ")</f>
        <v>124</v>
      </c>
      <c r="F18" s="240">
        <f>IF(ISNUMBER(IF(D_I="SI",Datos!K18,Datos!K18+Datos!AE18)),IF(D_I="SI",Datos!K18,Datos!K18+Datos!AE18)," - ")</f>
        <v>121</v>
      </c>
      <c r="G18" s="1390" t="str">
        <f>IF(Datos!E18&lt;&gt;"",Datos!E18,Datos!D18)</f>
        <v>37</v>
      </c>
      <c r="H18" s="241">
        <f>IF(ISNUMBER(IF(D_I="SI",Datos!L18,Datos!L18+Datos!AF18)),IF(D_I="SI",Datos!L18,Datos!L18+Datos!AF18)," - ")</f>
        <v>26</v>
      </c>
      <c r="I18" s="1400" t="str">
        <f>IF(ISNUMBER(Datos!AS18/Datos!BM18),Datos!AS18/Datos!BM18," - ")</f>
        <v xml:space="preserve"> - </v>
      </c>
      <c r="J18" s="1401" t="str">
        <f>IF(ISNUMBER((Datos!BY18+Datos!BZ18)/Datos!CN18),(Datos!BY18+Datos!BZ18)/Datos!CN18," - ")</f>
        <v xml:space="preserve"> - </v>
      </c>
      <c r="K18" s="244">
        <f t="shared" si="3"/>
        <v>0.13043478260869565</v>
      </c>
      <c r="L18" s="1402">
        <f>IF(ISNUMBER(NºAsuntos!I18/NºAsuntos!G18),(NºAsuntos!I18/NºAsuntos!G18)*11," - ")</f>
        <v>2.3636363636363638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293</v>
      </c>
      <c r="D23" s="1407">
        <f>SUBTOTAL(9,D16:D22)</f>
        <v>289</v>
      </c>
      <c r="E23" s="1408">
        <f>SUBTOTAL(9,E16:E22)</f>
        <v>1159</v>
      </c>
      <c r="F23" s="1408">
        <f>SUBTOTAL(9,F16:F22)</f>
        <v>1056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307</v>
      </c>
      <c r="D31" s="1435">
        <f>SUBTOTAL(9,D9:D30)</f>
        <v>303</v>
      </c>
      <c r="E31" s="1436">
        <f>SUBTOTAL(9,E9:E30)</f>
        <v>1167</v>
      </c>
      <c r="F31" s="1436">
        <f>SUBTOTAL(9,F9:F30)</f>
        <v>1068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VfGJUImqUnJJ27zXrTM5RJMHmruQtmMcgmXxVDXbTxSOV4fvoNSuEkECg1oCkj74Gbxg21mlc76NYKhyFOY/Q==" saltValue="KINbbFjG5bBlx+ia5JQxV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25TviyjUfme0EzssVgreCrfYFHPn94vZea6WUYd9SqijnAzXKN+gRh2EyEvoFgPSQI2VFm1GEPP3ogC9lt4aQ==" saltValue="Sh/8/brp7TbWhpkxGlAB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8</v>
      </c>
      <c r="K10" s="194">
        <v>12</v>
      </c>
      <c r="L10" s="194">
        <v>10</v>
      </c>
      <c r="M10" s="194">
        <v>4</v>
      </c>
      <c r="N10" s="194">
        <v>2</v>
      </c>
      <c r="O10" s="194">
        <v>0</v>
      </c>
      <c r="P10" s="194">
        <v>1</v>
      </c>
      <c r="Q10" s="194">
        <v>0</v>
      </c>
      <c r="R10" s="194">
        <v>2</v>
      </c>
      <c r="S10" s="194">
        <v>14</v>
      </c>
      <c r="T10" s="194">
        <v>13</v>
      </c>
      <c r="U10" s="194">
        <v>13</v>
      </c>
      <c r="V10" s="194">
        <v>14</v>
      </c>
      <c r="W10" s="194">
        <v>8</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13</v>
      </c>
      <c r="BA10" s="139">
        <f t="shared" si="0"/>
        <v>13</v>
      </c>
      <c r="BB10" s="139">
        <f t="shared" si="0"/>
        <v>14</v>
      </c>
      <c r="BC10" s="135">
        <f t="shared" si="0"/>
        <v>8</v>
      </c>
      <c r="BD10" s="136">
        <f>IF(ISNUMBER(BA10/AZ10),BA10/AZ10," - ")</f>
        <v>1</v>
      </c>
      <c r="BE10" s="137">
        <f>IF(ISNUMBER(BB10/BA10),BB10/BA10, " - ")</f>
        <v>1.0769230769230769</v>
      </c>
      <c r="BF10" s="137">
        <f>IF(ISNUMBER(BC10/BA10),BC10/BA10, " - ")</f>
        <v>0.61538461538461542</v>
      </c>
      <c r="BG10" s="209">
        <f>IF(ISNUMBER((AY10+AZ10)/BA10),(AY10+AZ10)/BA10," - ")</f>
        <v>2.0769230769230771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820</v>
      </c>
      <c r="J12" s="196">
        <v>1524</v>
      </c>
      <c r="K12" s="196">
        <v>1287</v>
      </c>
      <c r="L12" s="196">
        <v>1057</v>
      </c>
      <c r="M12" s="196">
        <v>372</v>
      </c>
      <c r="N12" s="196">
        <v>472</v>
      </c>
      <c r="O12" s="194">
        <v>650</v>
      </c>
      <c r="P12" s="196">
        <v>315</v>
      </c>
      <c r="Q12" s="196">
        <v>583</v>
      </c>
      <c r="R12" s="196">
        <v>1332</v>
      </c>
      <c r="S12" s="196">
        <v>877</v>
      </c>
      <c r="T12" s="196">
        <v>1405</v>
      </c>
      <c r="U12" s="196">
        <v>1301</v>
      </c>
      <c r="V12" s="196">
        <v>820</v>
      </c>
      <c r="W12" s="196">
        <v>311</v>
      </c>
      <c r="X12" s="202">
        <v>528</v>
      </c>
      <c r="Y12" s="204">
        <v>39</v>
      </c>
      <c r="Z12" s="194">
        <v>109</v>
      </c>
      <c r="AA12" s="194">
        <v>126</v>
      </c>
      <c r="AB12" s="194">
        <v>22</v>
      </c>
      <c r="AC12" s="196">
        <v>0</v>
      </c>
      <c r="AD12" s="196">
        <v>0</v>
      </c>
      <c r="AE12" s="196">
        <v>0</v>
      </c>
      <c r="AF12" s="202">
        <v>0</v>
      </c>
      <c r="AG12" s="215">
        <v>25</v>
      </c>
      <c r="AH12" s="196">
        <v>126</v>
      </c>
      <c r="AI12" s="196">
        <v>112</v>
      </c>
      <c r="AJ12" s="216">
        <v>39</v>
      </c>
      <c r="AK12" s="195">
        <v>0</v>
      </c>
      <c r="AL12" s="196">
        <v>0</v>
      </c>
      <c r="AM12" s="196">
        <v>0</v>
      </c>
      <c r="AN12" s="202">
        <v>0</v>
      </c>
      <c r="AO12" s="283">
        <v>2</v>
      </c>
      <c r="AP12" s="168">
        <v>2</v>
      </c>
      <c r="AQ12" s="168">
        <v>2</v>
      </c>
      <c r="AR12" s="167">
        <v>2</v>
      </c>
      <c r="AS12" s="381" t="s">
        <v>1075</v>
      </c>
      <c r="AT12" s="216"/>
      <c r="AU12" s="215"/>
      <c r="AV12" s="216"/>
      <c r="AW12" s="215"/>
      <c r="AX12" s="216"/>
      <c r="AY12" s="136">
        <f t="shared" si="1"/>
        <v>902</v>
      </c>
      <c r="AZ12" s="137">
        <f t="shared" si="1"/>
        <v>1531</v>
      </c>
      <c r="BA12" s="137">
        <f t="shared" si="1"/>
        <v>1413</v>
      </c>
      <c r="BB12" s="137">
        <f t="shared" si="1"/>
        <v>859</v>
      </c>
      <c r="BC12" s="135">
        <f>IF(ISNUMBER(X12),X12," - ")</f>
        <v>528</v>
      </c>
      <c r="BD12" s="136">
        <f t="shared" si="2"/>
        <v>0.92292619203135207</v>
      </c>
      <c r="BE12" s="137">
        <f t="shared" si="3"/>
        <v>0.60792639773531498</v>
      </c>
      <c r="BF12" s="137">
        <f t="shared" si="4"/>
        <v>0.37367303609341823</v>
      </c>
      <c r="BG12" s="209">
        <f t="shared" si="5"/>
        <v>1.7218683651804672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834</v>
      </c>
      <c r="J14" s="197">
        <f t="shared" si="7"/>
        <v>1532</v>
      </c>
      <c r="K14" s="197">
        <f t="shared" si="7"/>
        <v>1299</v>
      </c>
      <c r="L14" s="197">
        <f t="shared" si="7"/>
        <v>1067</v>
      </c>
      <c r="M14" s="197">
        <f t="shared" si="7"/>
        <v>376</v>
      </c>
      <c r="N14" s="197">
        <f t="shared" si="7"/>
        <v>474</v>
      </c>
      <c r="O14" s="197">
        <f t="shared" si="7"/>
        <v>650</v>
      </c>
      <c r="P14" s="197">
        <f t="shared" si="7"/>
        <v>316</v>
      </c>
      <c r="Q14" s="197">
        <f t="shared" si="7"/>
        <v>583</v>
      </c>
      <c r="R14" s="197">
        <f t="shared" si="7"/>
        <v>1334</v>
      </c>
      <c r="S14" s="197">
        <f t="shared" si="7"/>
        <v>891</v>
      </c>
      <c r="T14" s="197">
        <f t="shared" si="7"/>
        <v>1418</v>
      </c>
      <c r="U14" s="197">
        <f t="shared" si="7"/>
        <v>1314</v>
      </c>
      <c r="V14" s="197">
        <f t="shared" si="7"/>
        <v>834</v>
      </c>
      <c r="W14" s="197">
        <f t="shared" si="7"/>
        <v>319</v>
      </c>
      <c r="X14" s="197">
        <f t="shared" si="7"/>
        <v>530</v>
      </c>
      <c r="Y14" s="197">
        <f t="shared" si="7"/>
        <v>39</v>
      </c>
      <c r="Z14" s="197">
        <f t="shared" si="7"/>
        <v>109</v>
      </c>
      <c r="AA14" s="197">
        <f t="shared" si="7"/>
        <v>126</v>
      </c>
      <c r="AB14" s="197">
        <f t="shared" si="7"/>
        <v>22</v>
      </c>
      <c r="AC14" s="197">
        <f t="shared" si="7"/>
        <v>0</v>
      </c>
      <c r="AD14" s="197">
        <f t="shared" si="7"/>
        <v>0</v>
      </c>
      <c r="AE14" s="197">
        <f t="shared" si="7"/>
        <v>0</v>
      </c>
      <c r="AF14" s="197">
        <f>SUBTOTAL(9,AF9:AF13)</f>
        <v>0</v>
      </c>
      <c r="AG14" s="197">
        <f t="shared" ref="AG14:AT14" si="8">SUBTOTAL(9,AG8:AG13)</f>
        <v>25</v>
      </c>
      <c r="AH14" s="197">
        <f t="shared" si="8"/>
        <v>126</v>
      </c>
      <c r="AI14" s="197">
        <f t="shared" si="8"/>
        <v>112</v>
      </c>
      <c r="AJ14" s="197">
        <f t="shared" si="8"/>
        <v>39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916</v>
      </c>
      <c r="AZ14" s="197">
        <f>SUBTOTAL(9,AZ8:AZ13)</f>
        <v>1544</v>
      </c>
      <c r="BA14" s="197">
        <f>SUBTOTAL(9,BA8:BA13)</f>
        <v>1426</v>
      </c>
      <c r="BB14" s="197">
        <f>SUBTOTAL(9,BB8:BB13)</f>
        <v>873</v>
      </c>
      <c r="BC14" s="197">
        <f>SUBTOTAL(9,BC8:BC13)</f>
        <v>536</v>
      </c>
      <c r="BD14" s="219">
        <f>IF(ISNUMBER(BA14/AZ14),BA14/AZ14," - ")</f>
        <v>0.92357512953367871</v>
      </c>
      <c r="BE14" s="220">
        <f>IF(ISNUMBER(BB14/BA14),BB14/BA14, " - ")</f>
        <v>0.61220196353436185</v>
      </c>
      <c r="BF14" s="220">
        <f>IF(ISNUMBER(BC14/BA14),BC14/BA14, " - ")</f>
        <v>0.37587657784011219</v>
      </c>
      <c r="BG14" s="221">
        <f>IF(ISNUMBER((AY14+AZ14)/BA14),(AY14+AZ14)/BA14," - ")</f>
        <v>1.7251051893408134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268</v>
      </c>
      <c r="J17" s="196">
        <v>1035</v>
      </c>
      <c r="K17" s="196">
        <v>935</v>
      </c>
      <c r="L17" s="196">
        <v>370</v>
      </c>
      <c r="M17" s="196">
        <v>230</v>
      </c>
      <c r="N17" s="196">
        <v>420</v>
      </c>
      <c r="O17" s="194">
        <v>2</v>
      </c>
      <c r="P17" s="196">
        <v>36</v>
      </c>
      <c r="Q17" s="196">
        <v>42</v>
      </c>
      <c r="R17" s="196">
        <v>47</v>
      </c>
      <c r="S17" s="196">
        <v>368</v>
      </c>
      <c r="T17" s="196">
        <v>1044</v>
      </c>
      <c r="U17" s="196">
        <v>1025</v>
      </c>
      <c r="V17" s="196">
        <v>268</v>
      </c>
      <c r="W17" s="196">
        <v>209</v>
      </c>
      <c r="X17" s="202">
        <v>484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368</v>
      </c>
      <c r="AZ17" s="137">
        <f t="shared" si="10"/>
        <v>1044</v>
      </c>
      <c r="BA17" s="137">
        <f t="shared" si="10"/>
        <v>1025</v>
      </c>
      <c r="BB17" s="137">
        <f t="shared" si="10"/>
        <v>268</v>
      </c>
      <c r="BC17" s="135">
        <f>IF(ISNUMBER(W17),W17," - ")</f>
        <v>209</v>
      </c>
      <c r="BD17" s="136">
        <f t="shared" ref="BD17:BD22" si="12">IF(ISNUMBER(BA17/AZ17),BA17/AZ17," - ")</f>
        <v>0.98180076628352486</v>
      </c>
      <c r="BE17" s="137">
        <f t="shared" ref="BE17:BE22" si="13">IF(ISNUMBER(BB17/BA17),BB17/BA17, " - ")</f>
        <v>0.26146341463414635</v>
      </c>
      <c r="BF17" s="137">
        <f t="shared" ref="BF17:BF22" si="14">IF(ISNUMBER(BC17/BA17),BC17/BA17, " - ")</f>
        <v>0.20390243902439023</v>
      </c>
      <c r="BG17" s="209">
        <f t="shared" si="11"/>
        <v>1.377560975609756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124</v>
      </c>
      <c r="K18" s="196">
        <v>121</v>
      </c>
      <c r="L18" s="196">
        <v>26</v>
      </c>
      <c r="M18" s="196">
        <v>18</v>
      </c>
      <c r="N18" s="196">
        <v>74</v>
      </c>
      <c r="O18" s="196">
        <v>0</v>
      </c>
      <c r="P18" s="196">
        <v>0</v>
      </c>
      <c r="Q18" s="196">
        <v>0</v>
      </c>
      <c r="R18" s="196">
        <v>1</v>
      </c>
      <c r="S18" s="196">
        <v>61</v>
      </c>
      <c r="T18" s="196">
        <v>113</v>
      </c>
      <c r="U18" s="196">
        <v>109</v>
      </c>
      <c r="V18" s="196">
        <v>21</v>
      </c>
      <c r="W18" s="196">
        <v>18</v>
      </c>
      <c r="X18" s="202">
        <v>81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61</v>
      </c>
      <c r="AZ18" s="139">
        <f t="shared" si="15"/>
        <v>113</v>
      </c>
      <c r="BA18" s="139">
        <f t="shared" si="15"/>
        <v>109</v>
      </c>
      <c r="BB18" s="139">
        <f t="shared" si="15"/>
        <v>21</v>
      </c>
      <c r="BC18" s="135">
        <f>IF(ISNUMBER(W18),W18," - ")</f>
        <v>18</v>
      </c>
      <c r="BD18" s="136">
        <f>IF(ISNUMBER(BA18/AZ18),BA18/AZ18," - ")</f>
        <v>0.96460176991150437</v>
      </c>
      <c r="BE18" s="137">
        <f>IF(ISNUMBER(BB18/BA18),BB18/BA18, " - ")</f>
        <v>0.19266055045871561</v>
      </c>
      <c r="BF18" s="137">
        <f>IF(ISNUMBER(BC18/BA18),BC18/BA18, " - ")</f>
        <v>0.16513761467889909</v>
      </c>
      <c r="BG18" s="209">
        <f>IF(ISNUMBER((AY18+AZ18)/BA18),(AY18+AZ18)/BA18," - ")</f>
        <v>1.5963302752293578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289</v>
      </c>
      <c r="J23" s="197">
        <f t="shared" si="21"/>
        <v>1159</v>
      </c>
      <c r="K23" s="197">
        <f t="shared" si="21"/>
        <v>1056</v>
      </c>
      <c r="L23" s="197">
        <f t="shared" si="21"/>
        <v>396</v>
      </c>
      <c r="M23" s="197">
        <f t="shared" si="21"/>
        <v>248</v>
      </c>
      <c r="N23" s="197">
        <f t="shared" si="21"/>
        <v>494</v>
      </c>
      <c r="O23" s="197">
        <f t="shared" si="21"/>
        <v>2</v>
      </c>
      <c r="P23" s="197">
        <f t="shared" si="21"/>
        <v>36</v>
      </c>
      <c r="Q23" s="197">
        <f t="shared" si="21"/>
        <v>42</v>
      </c>
      <c r="R23" s="197">
        <f t="shared" si="21"/>
        <v>48</v>
      </c>
      <c r="S23" s="197">
        <f t="shared" si="21"/>
        <v>429</v>
      </c>
      <c r="T23" s="197">
        <f t="shared" si="21"/>
        <v>1157</v>
      </c>
      <c r="U23" s="197">
        <f t="shared" si="21"/>
        <v>1134</v>
      </c>
      <c r="V23" s="197">
        <f t="shared" si="21"/>
        <v>289</v>
      </c>
      <c r="W23" s="197">
        <f t="shared" si="21"/>
        <v>227</v>
      </c>
      <c r="X23" s="197">
        <f t="shared" si="21"/>
        <v>565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429</v>
      </c>
      <c r="AZ23" s="197">
        <f>SUBTOTAL(9,AZ15:AZ22)</f>
        <v>1157</v>
      </c>
      <c r="BA23" s="197">
        <f>SUBTOTAL(9,BA15:BA22)</f>
        <v>1134</v>
      </c>
      <c r="BB23" s="197">
        <f>SUBTOTAL(9,BB15:BB22)</f>
        <v>289</v>
      </c>
      <c r="BC23" s="197">
        <f>SUBTOTAL(9,BC15:BC22)</f>
        <v>227</v>
      </c>
      <c r="BD23" s="219">
        <f>IF(ISNUMBER(BA23/AZ23),BA23/AZ23," - ")</f>
        <v>0.98012100259291268</v>
      </c>
      <c r="BE23" s="220">
        <f>IF(ISNUMBER(BB23/BA23),BB23/BA23, " - ")</f>
        <v>0.25485008818342153</v>
      </c>
      <c r="BF23" s="220">
        <f>IF(ISNUMBER(BC23/BA23),BC23/BA23, " - ")</f>
        <v>0.2001763668430335</v>
      </c>
      <c r="BG23" s="221">
        <f>IF(ISNUMBER((AY23+AZ23)/BA23),(AY23+AZ23)/BA23," - ")</f>
        <v>1.398589065255732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1123</v>
      </c>
      <c r="J31" s="144">
        <f t="shared" si="36"/>
        <v>2691</v>
      </c>
      <c r="K31" s="144">
        <f t="shared" si="36"/>
        <v>2355</v>
      </c>
      <c r="L31" s="144">
        <f t="shared" si="36"/>
        <v>1463</v>
      </c>
      <c r="M31" s="144">
        <f t="shared" si="36"/>
        <v>624</v>
      </c>
      <c r="N31" s="144">
        <f t="shared" si="36"/>
        <v>968</v>
      </c>
      <c r="O31" s="144">
        <f t="shared" si="36"/>
        <v>652</v>
      </c>
      <c r="P31" s="144">
        <f t="shared" si="36"/>
        <v>352</v>
      </c>
      <c r="Q31" s="144">
        <f t="shared" si="36"/>
        <v>625</v>
      </c>
      <c r="R31" s="144">
        <f t="shared" si="36"/>
        <v>1382</v>
      </c>
      <c r="S31" s="144">
        <f t="shared" si="36"/>
        <v>1320</v>
      </c>
      <c r="T31" s="144">
        <f t="shared" si="36"/>
        <v>2575</v>
      </c>
      <c r="U31" s="144">
        <f t="shared" si="36"/>
        <v>2448</v>
      </c>
      <c r="V31" s="144">
        <f t="shared" si="36"/>
        <v>1123</v>
      </c>
      <c r="W31" s="144">
        <f t="shared" si="36"/>
        <v>546</v>
      </c>
      <c r="X31" s="144">
        <f t="shared" si="36"/>
        <v>1095</v>
      </c>
      <c r="Y31" s="144">
        <f t="shared" si="36"/>
        <v>39</v>
      </c>
      <c r="Z31" s="144">
        <f t="shared" si="36"/>
        <v>109</v>
      </c>
      <c r="AA31" s="144">
        <f t="shared" si="36"/>
        <v>126</v>
      </c>
      <c r="AB31" s="144">
        <f t="shared" si="36"/>
        <v>22</v>
      </c>
      <c r="AC31" s="144">
        <f t="shared" si="36"/>
        <v>0</v>
      </c>
      <c r="AD31" s="144">
        <f t="shared" si="36"/>
        <v>0</v>
      </c>
      <c r="AE31" s="144">
        <f t="shared" si="36"/>
        <v>0</v>
      </c>
      <c r="AF31" s="144">
        <f t="shared" si="36"/>
        <v>0</v>
      </c>
      <c r="AG31" s="144">
        <f t="shared" si="36"/>
        <v>25</v>
      </c>
      <c r="AH31" s="144">
        <f t="shared" si="36"/>
        <v>126</v>
      </c>
      <c r="AI31" s="144">
        <f t="shared" si="36"/>
        <v>112</v>
      </c>
      <c r="AJ31" s="144">
        <f t="shared" si="36"/>
        <v>39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1345</v>
      </c>
      <c r="AZ31" s="144">
        <f>SUBTOTAL(9,AZ9:AZ30)</f>
        <v>2701</v>
      </c>
      <c r="BA31" s="144">
        <f>SUBTOTAL(9,BA9:BA30)</f>
        <v>2560</v>
      </c>
      <c r="BB31" s="144">
        <f>SUBTOTAL(9,BB9:BB30)</f>
        <v>1162</v>
      </c>
      <c r="BC31" s="145">
        <f>SUBTOTAL(9,BC9:BC30)</f>
        <v>763</v>
      </c>
      <c r="BD31" s="227">
        <f>IF(ISNUMBER(BA31/AZ31),BA31/AZ31," - ")</f>
        <v>0.94779711218067386</v>
      </c>
      <c r="BE31" s="224">
        <f>IF(ISNUMBER(BB31/BA31),BB31/BA31, " - ")</f>
        <v>0.45390625000000001</v>
      </c>
      <c r="BF31" s="224">
        <f>IF(ISNUMBER(BC31/BA31),BC31/BA31, " - ")</f>
        <v>0.29804687499999999</v>
      </c>
      <c r="BG31" s="145">
        <f>IF(ISNUMBER((AY31+AZ31)/BA31),(AY31+AZ31)/BA31," - ")</f>
        <v>1.5804687500000001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s04KWxrMdcTERs999L9/eF0OL+DljHzqODdFrGnJxis8WHCEcZVjHh3k9q5t6IoM/VhGJOYSLybqYN+qm4ncw==" saltValue="6BZL2RnHJmV/MBkmuDaCl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L6wA1ehp1h+Ry+rOlKX/5ZP76C9/auI2nym1gB1PR7VIheEBdOggu/dXfyPJrXcsFl87H7m5oB1TwoIzYNYBw==" saltValue="veD9quGjf976mLB4Fa0kv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MARIN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10</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9.1666666666666679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109</v>
      </c>
      <c r="O12" s="549"/>
      <c r="P12" s="549"/>
      <c r="Q12" s="547">
        <f>IF(ISNUMBER(Datos!P12),Datos!P12,0)</f>
        <v>315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583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1332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372</v>
      </c>
      <c r="BD12" s="693">
        <f>IF(ISNUMBER(Datos!N12),Datos!N12," - ")</f>
        <v>472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0.86527862829148805</v>
      </c>
      <c r="BH12" s="764">
        <f>IF(ISNUMBER(((IF(J_V="SI",Datos!L12/Datos!K12,(Datos!L12+Datos!AB12)/(Datos!K12+Datos!AA12)))*11)/factor_trimestre),((IF(J_V="SI",Datos!L12/Datos!K12,(Datos!L12+Datos!AB12)/(Datos!K12+Datos!AA12)))*11)/factor_trimestre," - ")</f>
        <v>8.3998584571832975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-0.16750000000000001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109</v>
      </c>
      <c r="O14" s="1199">
        <f t="shared" si="1"/>
        <v>0</v>
      </c>
      <c r="P14" s="1199">
        <f t="shared" si="1"/>
        <v>0</v>
      </c>
      <c r="Q14" s="1198">
        <f t="shared" si="1"/>
        <v>316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583</v>
      </c>
      <c r="AD14" s="1198">
        <f t="shared" si="2"/>
        <v>0</v>
      </c>
      <c r="AE14" s="1198">
        <f t="shared" si="2"/>
        <v>0</v>
      </c>
      <c r="AF14" s="1198">
        <f t="shared" si="2"/>
        <v>10</v>
      </c>
      <c r="AG14" s="1198">
        <f t="shared" si="2"/>
        <v>0</v>
      </c>
      <c r="AH14" s="1198">
        <f t="shared" si="2"/>
        <v>22</v>
      </c>
      <c r="AI14" s="1198">
        <f t="shared" si="2"/>
        <v>0</v>
      </c>
      <c r="AJ14" s="1198">
        <f t="shared" si="2"/>
        <v>0</v>
      </c>
      <c r="AK14" s="1198">
        <f t="shared" si="2"/>
        <v>0</v>
      </c>
      <c r="AL14" s="1198">
        <f t="shared" si="2"/>
        <v>0</v>
      </c>
      <c r="AM14" s="1198">
        <f t="shared" si="2"/>
        <v>1334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376</v>
      </c>
      <c r="BD14" s="1198">
        <f t="shared" si="2"/>
        <v>474</v>
      </c>
      <c r="BE14" s="1198">
        <f t="shared" si="2"/>
        <v>0</v>
      </c>
      <c r="BF14" s="1198">
        <f t="shared" si="2"/>
        <v>0</v>
      </c>
      <c r="BG14" s="1198">
        <f>IF(ISNUMBER(Datos!K14/Datos!J14),Datos!K14/Datos!J14," - ")</f>
        <v>0.84791122715404699</v>
      </c>
      <c r="BH14" s="1202">
        <f>IF(ISNUMBER(((Datos!L14/Datos!K14)*11)/factor_trimestre),((Datos!L14/Datos!K14)*11)/factor_trimestre," - ")</f>
        <v>9.0354118552732867</v>
      </c>
      <c r="BI14" s="1198">
        <f>IF(ISNUMBER('Resol  Asuntos'!D14/NºAsuntos!G14),'Resol  Asuntos'!D14/NºAsuntos!G14," - ")</f>
        <v>0.26385964912280702</v>
      </c>
      <c r="BJ14" s="1198" t="str">
        <f>IF(ISNUMBER(Datos!CI14/Datos!CJ14),Datos!CI14/Datos!CJ14," - ")</f>
        <v xml:space="preserve"> - </v>
      </c>
      <c r="BK14" s="1198">
        <f>SUBTOTAL(9,BK8:BK13)</f>
        <v>0</v>
      </c>
      <c r="BL14" s="1198">
        <f>IF(ISNUMBER((I14-AB14+L14)/(F14)),(I14-AB14+L14)/(F14)," - ")</f>
        <v>-0.8571428571428571</v>
      </c>
      <c r="BM14" s="1203">
        <f>SUBTOTAL(9,BM9:BM13)</f>
        <v>0.83250000000000002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270</v>
      </c>
      <c r="G17" s="743">
        <f>IF(ISNUMBER(IF(D_I="SI",Datos!I17,Datos!I17+Datos!AC17)),IF(D_I="SI",Datos!I17,Datos!I17+Datos!AC17)," - ")</f>
        <v>268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935</v>
      </c>
      <c r="AC17" s="240">
        <f>IF(ISNUMBER(Datos!Q17),Datos!Q17," - ")</f>
        <v>42</v>
      </c>
      <c r="AD17" s="374"/>
      <c r="AE17" s="562"/>
      <c r="AF17" s="741">
        <f>IF(ISNUMBER(IF(D_I="SI",Datos!L17,Datos!L17+Datos!AF17)),IF(D_I="SI",Datos!L17,Datos!L17+Datos!AF17)," - ")</f>
        <v>370</v>
      </c>
      <c r="AG17" s="374"/>
      <c r="AH17" s="374"/>
      <c r="AI17" s="374"/>
      <c r="AJ17" s="549"/>
      <c r="AK17" s="374"/>
      <c r="AL17" s="545"/>
      <c r="AM17" s="375">
        <f>IF(ISNUMBER(Datos!R17),Datos!R17," - ")</f>
        <v>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230</v>
      </c>
      <c r="BD17" s="243">
        <f>IF(ISNUMBER(Datos!N17),Datos!N17," - ")</f>
        <v>420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0.90338164251207731</v>
      </c>
      <c r="BH17" s="764">
        <f>IF(ISNUMBER(((IF(D_I="SI",Datos!L17/Datos!K17,(Datos!L17+Datos!AF17)/(Datos!K17+Datos!AE17)))*11)/factor_trimestre),((IF(D_I="SI",Datos!L17/Datos!K17,(Datos!L17+Datos!AF17)/(Datos!K17+Datos!AE17)))*11)/factor_trimestre," - ")</f>
        <v>4.3529411764705888</v>
      </c>
      <c r="BI17" s="266">
        <f>IF(ISNUMBER('Resol  Asuntos'!D17/NºAsuntos!G17),'Resol  Asuntos'!D17/NºAsuntos!G17," - ")</f>
        <v>0.24598930481283424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121</v>
      </c>
      <c r="AC18" s="547">
        <f>IF(ISNUMBER(Datos!Q18),Datos!Q18," - ")</f>
        <v>0</v>
      </c>
      <c r="AD18" s="549"/>
      <c r="AE18" s="562"/>
      <c r="AF18" s="551">
        <f>IF(ISNUMBER(Datos!L18),Datos!L18,"-")</f>
        <v>26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74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0.97580645161290325</v>
      </c>
      <c r="BH18" s="764">
        <f>IF(ISNUMBER(((IF(D_I="SI",Datos!L18/Datos!K18,(Datos!L18+Datos!AF18)/(Datos!K18+Datos!AE18)))*11)/factor_trimestre),((IF(D_I="SI",Datos!L18/Datos!K18,(Datos!L18+Datos!AF18)/(Datos!K18+Datos!AE18)))*11)/factor_trimestre," - ")</f>
        <v>2.3636363636363638</v>
      </c>
      <c r="BI18" s="763">
        <f>IF(ISNUMBER('Resol  Asuntos'!D18/NºAsuntos!G18),'Resol  Asuntos'!D18/NºAsuntos!G18," - ")</f>
        <v>0.1487603305785124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270</v>
      </c>
      <c r="G23" s="1197">
        <f>SUBTOTAL(9,G16:G22)</f>
        <v>289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1056</v>
      </c>
      <c r="AC23" s="1198">
        <f t="shared" si="5"/>
        <v>42</v>
      </c>
      <c r="AD23" s="1198">
        <f t="shared" si="5"/>
        <v>0</v>
      </c>
      <c r="AE23" s="1198">
        <f t="shared" si="5"/>
        <v>0</v>
      </c>
      <c r="AF23" s="1198">
        <f t="shared" si="5"/>
        <v>396</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248</v>
      </c>
      <c r="BD23" s="1198">
        <f t="shared" si="5"/>
        <v>494</v>
      </c>
      <c r="BE23" s="1198">
        <f t="shared" si="5"/>
        <v>0</v>
      </c>
      <c r="BF23" s="1198">
        <f t="shared" si="5"/>
        <v>0</v>
      </c>
      <c r="BG23" s="1198">
        <f>IF(ISNUMBER(Datos!K23/Datos!J23),Datos!K23/Datos!J23," - ")</f>
        <v>0.911130284728214</v>
      </c>
      <c r="BH23" s="1202">
        <f>IF(ISNUMBER(((Datos!L23/Datos!K23)*11)/factor_trimestre),((Datos!L23/Datos!K23)*11)/factor_trimestre," - ")</f>
        <v>4.125</v>
      </c>
      <c r="BI23" s="1198">
        <f>SUBTOTAL(9,BI16:BI22)</f>
        <v>0.39474963539134666</v>
      </c>
      <c r="BJ23" s="1198">
        <f>SUBTOTAL(9,BJ16:BJ22)</f>
        <v>0</v>
      </c>
      <c r="BK23" s="1198">
        <f>SUBTOTAL(9,BK16:BK22)</f>
        <v>0</v>
      </c>
      <c r="BL23" s="1198">
        <f>IF(ISNUMBER((I23-AB23+L23)/(F23)),(I23-AB23+L23)/(F23)," - ")</f>
        <v>-3.911111111111111</v>
      </c>
      <c r="BM23" s="1205">
        <f>IF(ISNUMBER((Datos!P23-Datos!Q23)/(Datos!R23-Datos!P23+Datos!Q23)),(Datos!P23-Datos!Q23)/(Datos!R23-Datos!P23+Datos!Q23)," - ")</f>
        <v>-0.1111111111111111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284</v>
      </c>
      <c r="G31" s="1117">
        <f t="shared" si="18"/>
        <v>303</v>
      </c>
      <c r="H31" s="1119">
        <f t="shared" si="18"/>
        <v>0</v>
      </c>
      <c r="I31" s="1117">
        <f t="shared" si="18"/>
        <v>0</v>
      </c>
      <c r="J31" s="1119">
        <f t="shared" si="18"/>
        <v>0</v>
      </c>
      <c r="K31" s="1119">
        <f t="shared" si="18"/>
        <v>0</v>
      </c>
      <c r="L31" s="1180">
        <f t="shared" si="18"/>
        <v>0</v>
      </c>
      <c r="M31" s="1180">
        <f t="shared" si="18"/>
        <v>0</v>
      </c>
      <c r="N31" s="1180">
        <f t="shared" si="18"/>
        <v>109</v>
      </c>
      <c r="O31" s="1180">
        <f t="shared" si="18"/>
        <v>0</v>
      </c>
      <c r="P31" s="1180">
        <f t="shared" si="18"/>
        <v>0</v>
      </c>
      <c r="Q31" s="1119">
        <f t="shared" si="18"/>
        <v>352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1068</v>
      </c>
      <c r="AC31" s="1118">
        <f t="shared" si="19"/>
        <v>625</v>
      </c>
      <c r="AD31" s="1118">
        <f t="shared" si="19"/>
        <v>0</v>
      </c>
      <c r="AE31" s="1118">
        <f t="shared" si="19"/>
        <v>0</v>
      </c>
      <c r="AF31" s="1125">
        <f t="shared" si="19"/>
        <v>406</v>
      </c>
      <c r="AG31" s="1125">
        <f t="shared" si="19"/>
        <v>0</v>
      </c>
      <c r="AH31" s="1125">
        <f t="shared" si="19"/>
        <v>22</v>
      </c>
      <c r="AI31" s="1125">
        <f t="shared" si="19"/>
        <v>0</v>
      </c>
      <c r="AJ31" s="1118">
        <f t="shared" si="19"/>
        <v>0</v>
      </c>
      <c r="AK31" s="1125">
        <f t="shared" si="19"/>
        <v>0</v>
      </c>
      <c r="AL31" s="1125">
        <f t="shared" si="19"/>
        <v>0</v>
      </c>
      <c r="AM31" s="1125">
        <f t="shared" si="19"/>
        <v>1382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624</v>
      </c>
      <c r="BD31" s="1117">
        <f t="shared" si="19"/>
        <v>968</v>
      </c>
      <c r="BE31" s="1117">
        <f t="shared" si="19"/>
        <v>0</v>
      </c>
      <c r="BF31" s="1127">
        <f t="shared" si="19"/>
        <v>0</v>
      </c>
      <c r="BG31" s="1223">
        <f>IF(ISNUMBER(Datos!K31/Datos!J31),Datos!K31/Datos!J31," - ")</f>
        <v>0.87513935340022297</v>
      </c>
      <c r="BH31" s="1223">
        <f>IF(ISNUMBER(((Datos!L31/Datos!K31)*11)/factor_trimestre),((Datos!L31/Datos!K31)*11)/factor_trimestre," - ")</f>
        <v>6.8335456475583864</v>
      </c>
      <c r="BI31" s="1103">
        <f>IF(ISNUMBER(Datos!J31/Datos!I31),Datos!J31/Datos!I31," - ")</f>
        <v>2.3962600178094391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-3.76056338028169</v>
      </c>
      <c r="BM31" s="1188">
        <f>IF(ISNUMBER((Datos!P31-Datos!Q31+R31)/(Datos!R31-Datos!P31+Datos!Q31-R31)),(Datos!P31-Datos!Q31+R31)/(Datos!R31-Datos!P31+Datos!Q31-R31)," - ")</f>
        <v>-0.16495468277945619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135.9568559016671</v>
      </c>
      <c r="G33" s="674">
        <f>IF(ISNUMBER(STDEV(G8:G30)),STDEV(G8:G30),"-")</f>
        <v>131.47605249988447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474.78150363138224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168.95307886257314</v>
      </c>
      <c r="BD33" s="673"/>
      <c r="BE33" s="673">
        <f>IF(ISNUMBER(STDEV(BE8:BE30)),STDEV(BE8:BE30),"-")</f>
        <v>0</v>
      </c>
      <c r="BF33" s="678">
        <f>IF(ISNUMBER(STDEV(BF8:BF30)),STDEV(BF8:BF30),"-")</f>
        <v>0</v>
      </c>
      <c r="BG33" s="1052">
        <f>IF(ISNUMBER(STDEV(BG8:BG30)),STDEV(BG8:BG30),"-")</f>
        <v>0.24863509511566226</v>
      </c>
      <c r="BH33" s="1058">
        <f>IF(ISNUMBER(STDEV(BH8:BH30)),STDEV(BH8:BH30),"-")</f>
        <v>2.9700202948662833</v>
      </c>
      <c r="BI33" s="273">
        <f>IF(ISNUMBER(STDEV(BI8:BI30)),STDEV(BI8:BI30),"-")</f>
        <v>0.10115715426473994</v>
      </c>
      <c r="BJ33" s="244" t="str">
        <f>IF(ISNUMBER(BL33/BM33),BL33/BM33," - ")</f>
        <v xml:space="preserve"> - </v>
      </c>
      <c r="BK33" s="709"/>
      <c r="BL33" s="681">
        <f>IF(ISNUMBER(STDEV(BL8:BL30)),STDEV(BL8:BL30),"-")</f>
        <v>2.1594816619093931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ctoZsBwrcOzXkLbrZ7HndxHpPOKw0lyH4hLS2ojUwo3Gx2v/cPuz1k6GSPc7Bubv4Hjvo4Wu42pIV/r/jnxiAw==" saltValue="9pUTwy4qd6LhyNFu2/5Y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MARIN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10</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4</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9.1666666666666679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583</v>
      </c>
      <c r="AA12" s="551" t="str">
        <f>IF(ISNUMBER(IF(J_V="SI",Datos!L12,Datos!L12+Datos!AB12)-IF(Monitorios="SI",Datos!CD12,0)),
                          IF(J_V="SI",Datos!L12,Datos!L12+Datos!AB12)-IF(Monitorios="SI",Datos!CD12,0),
                          " - ")</f>
        <v xml:space="preserve"> - </v>
      </c>
      <c r="AB12" s="549"/>
      <c r="AC12" s="549"/>
      <c r="AD12" s="563"/>
      <c r="AE12" s="563">
        <f>IF(ISNUMBER(Datos!R12),Datos!R12," - ")</f>
        <v>1332</v>
      </c>
      <c r="AF12" s="693" t="str">
        <f>IF(ISNUMBER(Datos!BV12),Datos!BV12," - ")</f>
        <v xml:space="preserve"> - </v>
      </c>
      <c r="AG12" s="552" t="str">
        <f>IF(ISNUMBER(Datos!DV12),Datos!DV12," - ")</f>
        <v xml:space="preserve"> - </v>
      </c>
      <c r="AH12" s="553"/>
      <c r="AI12" s="554"/>
      <c r="AJ12" s="552">
        <f>IF(ISNUMBER(Datos!M12),Datos!M12," - ")</f>
        <v>372</v>
      </c>
      <c r="AK12" s="693">
        <f>IF(ISNUMBER(Datos!N12),Datos!N12," - ")</f>
        <v>472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8.3998584571832975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-0.16750000000000001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316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583</v>
      </c>
      <c r="AA14" s="1199">
        <f t="shared" si="3"/>
        <v>10</v>
      </c>
      <c r="AB14" s="1199">
        <f t="shared" si="3"/>
        <v>0</v>
      </c>
      <c r="AC14" s="1199">
        <f t="shared" si="3"/>
        <v>0</v>
      </c>
      <c r="AD14" s="1199">
        <f t="shared" si="3"/>
        <v>0</v>
      </c>
      <c r="AE14" s="1199">
        <f t="shared" si="3"/>
        <v>1334</v>
      </c>
      <c r="AF14" s="1211">
        <f t="shared" si="3"/>
        <v>0</v>
      </c>
      <c r="AG14" s="1211">
        <f t="shared" si="3"/>
        <v>0</v>
      </c>
      <c r="AH14" s="1211">
        <f t="shared" si="3"/>
        <v>0</v>
      </c>
      <c r="AI14" s="1211">
        <f t="shared" si="3"/>
        <v>0</v>
      </c>
      <c r="AJ14" s="1211">
        <f t="shared" si="3"/>
        <v>376</v>
      </c>
      <c r="AK14" s="1211">
        <f t="shared" si="3"/>
        <v>474</v>
      </c>
      <c r="AL14" s="1211">
        <f t="shared" si="3"/>
        <v>0</v>
      </c>
      <c r="AM14" s="1211">
        <f t="shared" si="3"/>
        <v>0</v>
      </c>
      <c r="AN14" s="1211">
        <f t="shared" si="3"/>
        <v>0</v>
      </c>
      <c r="AO14" s="1203">
        <f>IF(ISNUMBER(((NºAsuntos!I14/NºAsuntos!G14)*11)/factor_trimestre),((NºAsuntos!I14/NºAsuntos!G14)*11)/factor_trimestre," - ")</f>
        <v>8.406315789473684</v>
      </c>
      <c r="AP14" s="1213" t="str">
        <f>IF(ISNUMBER(Datos!CI14/Datos!CJ14),Datos!CI14/Datos!CJ14," - ")</f>
        <v xml:space="preserve"> - </v>
      </c>
      <c r="AQ14" s="1236">
        <f t="shared" ref="AQ14:AV14" si="4">SUBTOTAL(9,AQ9:AQ13)</f>
        <v>0</v>
      </c>
      <c r="AR14" s="1236">
        <f t="shared" si="4"/>
        <v>0.83250000000000002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270</v>
      </c>
      <c r="G17" s="552">
        <f>IF(ISNUMBER(IF(D_I="SI",Datos!I17,Datos!I17+Datos!AC17)),IF(D_I="SI",Datos!I17,Datos!I17+Datos!AC17)," - ")</f>
        <v>268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935</v>
      </c>
      <c r="Z17" s="805">
        <f>IF(ISNUMBER(Datos!Q17),Datos!Q17," - ")</f>
        <v>42</v>
      </c>
      <c r="AA17" s="551">
        <f>IF(ISNUMBER(IF(D_I="SI",Datos!L17,Datos!L17+Datos!AF17)),IF(D_I="SI",Datos!L17,Datos!L17+Datos!AF17)," - ")</f>
        <v>370</v>
      </c>
      <c r="AB17" s="549"/>
      <c r="AC17" s="549"/>
      <c r="AD17" s="563"/>
      <c r="AE17" s="563">
        <f>IF(ISNUMBER(Datos!R17),Datos!R17," - ")</f>
        <v>47</v>
      </c>
      <c r="AF17" s="693" t="str">
        <f>IF(ISNUMBER(Datos!BV17),Datos!BV17," - ")</f>
        <v xml:space="preserve"> - </v>
      </c>
      <c r="AG17" s="552"/>
      <c r="AH17" s="553"/>
      <c r="AI17" s="554"/>
      <c r="AJ17" s="552">
        <f>IF(ISNUMBER(Datos!M17),Datos!M17," - ")</f>
        <v>230</v>
      </c>
      <c r="AK17" s="693">
        <f>IF(ISNUMBER(Datos!N17),Datos!N17," - ")</f>
        <v>420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4.3529411764705888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121</v>
      </c>
      <c r="Z18" s="805">
        <f>IF(ISNUMBER(Datos!Q18),Datos!Q18," - ")</f>
        <v>0</v>
      </c>
      <c r="AA18" s="551">
        <f>IF(ISNUMBER(Datos!L18),Datos!L18,"-")</f>
        <v>26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18</v>
      </c>
      <c r="AK18" s="693">
        <f>IF(ISNUMBER(Datos!N18),Datos!N18," - ")</f>
        <v>74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2.3636363636363638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270</v>
      </c>
      <c r="G23" s="1197">
        <f>SUBTOTAL(9,G16:G22)</f>
        <v>289</v>
      </c>
      <c r="H23" s="1240">
        <f>SUBTOTAL(9,H16:H22)</f>
        <v>0</v>
      </c>
      <c r="I23" s="1217">
        <f>SUBTOTAL(9,I16:I22)</f>
        <v>0</v>
      </c>
      <c r="J23" s="1164">
        <f>SUBTOTAL(9,J15:J22)</f>
        <v>0</v>
      </c>
      <c r="K23" s="1240">
        <f t="shared" ref="K23:S23" si="5">SUBTOTAL(9,K16:K22)</f>
        <v>0</v>
      </c>
      <c r="L23" s="1240">
        <f t="shared" si="5"/>
        <v>0</v>
      </c>
      <c r="M23" s="1240">
        <f t="shared" si="5"/>
        <v>0</v>
      </c>
      <c r="N23" s="1240">
        <f t="shared" si="5"/>
        <v>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1056</v>
      </c>
      <c r="Z23" s="1240">
        <f t="shared" si="6"/>
        <v>42</v>
      </c>
      <c r="AA23" s="1240">
        <f t="shared" si="6"/>
        <v>396</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248</v>
      </c>
      <c r="AK23" s="1240">
        <f t="shared" si="6"/>
        <v>494</v>
      </c>
      <c r="AL23" s="1240">
        <f t="shared" si="6"/>
        <v>0</v>
      </c>
      <c r="AM23" s="1240">
        <f t="shared" si="6"/>
        <v>0</v>
      </c>
      <c r="AN23" s="1240">
        <f t="shared" si="6"/>
        <v>0</v>
      </c>
      <c r="AO23" s="1242">
        <f>IF(ISNUMBER(((NºAsuntos!I23/NºAsuntos!G23)*11)/factor_trimestre),((NºAsuntos!I23/NºAsuntos!G23)*11)/factor_trimestre," - ")</f>
        <v>4.125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284</v>
      </c>
      <c r="G31" s="1117">
        <f t="shared" si="12"/>
        <v>303</v>
      </c>
      <c r="H31" s="1118">
        <f t="shared" si="12"/>
        <v>0</v>
      </c>
      <c r="I31" s="1117">
        <f t="shared" si="12"/>
        <v>0</v>
      </c>
      <c r="J31" s="1119">
        <f t="shared" si="12"/>
        <v>0</v>
      </c>
      <c r="K31" s="1117">
        <f t="shared" si="12"/>
        <v>0</v>
      </c>
      <c r="L31" s="1120">
        <f t="shared" si="12"/>
        <v>0</v>
      </c>
      <c r="M31" s="1117">
        <f t="shared" si="12"/>
        <v>0</v>
      </c>
      <c r="N31" s="1118">
        <f t="shared" si="12"/>
        <v>352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1068</v>
      </c>
      <c r="Z31" s="1124">
        <f t="shared" si="13"/>
        <v>625</v>
      </c>
      <c r="AA31" s="1125">
        <f t="shared" si="13"/>
        <v>406</v>
      </c>
      <c r="AB31" s="1125">
        <f t="shared" si="13"/>
        <v>0</v>
      </c>
      <c r="AC31" s="1125">
        <f t="shared" si="13"/>
        <v>0</v>
      </c>
      <c r="AD31" s="1126">
        <f t="shared" si="13"/>
        <v>0</v>
      </c>
      <c r="AE31" s="1126">
        <f t="shared" si="13"/>
        <v>1382</v>
      </c>
      <c r="AF31" s="1127">
        <f t="shared" si="13"/>
        <v>0</v>
      </c>
      <c r="AG31" s="1128">
        <f t="shared" si="13"/>
        <v>0</v>
      </c>
      <c r="AH31" s="1129">
        <f t="shared" si="13"/>
        <v>0</v>
      </c>
      <c r="AI31" s="1127">
        <f t="shared" si="13"/>
        <v>0</v>
      </c>
      <c r="AJ31" s="1117">
        <f t="shared" si="13"/>
        <v>624</v>
      </c>
      <c r="AK31" s="1117">
        <f t="shared" si="13"/>
        <v>968</v>
      </c>
      <c r="AL31" s="1117">
        <f t="shared" si="13"/>
        <v>0</v>
      </c>
      <c r="AM31" s="1130">
        <f t="shared" si="13"/>
        <v>0</v>
      </c>
      <c r="AN31" s="1120">
        <f>IF(ISNUMBER(Datos!K31/Datos!J31),Datos!K31/Datos!J31," - ")</f>
        <v>0.87513935340022297</v>
      </c>
      <c r="AO31" s="1120">
        <f>IF(ISNUMBER(FIND("06",Criterios!A8,1)),(IF(ISNUMBER(((Datos!R31/Datos!Q31)*11)/factor_trimestre),((Datos!R31/Datos!Q31)*11)/factor_trimestre," - ")),(IF(ISNUMBER(((Datos!L31/Datos!K31)*11)/factor_trimestre),((Datos!L31/Datos!K31)*11)/factor_trimestre," - ")))</f>
        <v>6.8335456475583864</v>
      </c>
      <c r="AP31" s="1131" t="str">
        <f>IF(ISNUMBER(Datos!CI31/Datos!CJ31),Datos!CI31/Datos!CJ31," - ")</f>
        <v xml:space="preserve"> - </v>
      </c>
      <c r="AQ31" s="1131">
        <f>IF(OR(ISNUMBER(FIND("01",Criterios!A8,1)),ISNUMBER(FIND("02",Criterios!A8,1)),ISNUMBER(FIND("03",Criterios!A8,1)),ISNUMBER(FIND("04",Criterios!A8,1))),(J31-Y31+K31)/(F31-K31),(I31-Y31+K31)/(F31-K31))</f>
        <v>-3.76056338028169</v>
      </c>
      <c r="AR31" s="1131">
        <f>IF(ISNUMBER((Datos!P31-Datos!Q31+O31)/(Datos!R31-Datos!P31+Datos!Q31-O31)),(Datos!P31-Datos!Q31+O31)/(Datos!R31-Datos!P31+Datos!Q31-O31)," - ")</f>
        <v>-0.16495468277945619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135.9568559016671</v>
      </c>
      <c r="G33" s="674">
        <f>IF(ISNUMBER(STDEV(G8:G30)),STDEV(G8:G30),"-")</f>
        <v>131.47605249988447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168.95307886257314</v>
      </c>
      <c r="AK33" s="276"/>
      <c r="AL33" s="276">
        <f>IF(ISNUMBER(STDEV(AL8:AL30)),STDEV(AL8:AL30),"-")</f>
        <v>0</v>
      </c>
      <c r="AM33" s="278">
        <f>IF(ISNUMBER(STDEV(AM8:AM30)),STDEV(AM8:AM30),"-")</f>
        <v>0</v>
      </c>
      <c r="AN33" s="660">
        <f>IF(ISNUMBER(STDEV(AN8:AN30)),STDEV(AN8:AN30),"-")</f>
        <v>0</v>
      </c>
      <c r="AO33" s="661">
        <f>IF(ISNUMBER(STDEV(AO8:AO30)),STDEV(AO8:AO30),"-")</f>
        <v>2.8607158579202308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ym2JCGxzmXGen++zPzFVSNdJvMpq9lwLmITQn33lIlJ1tA62YwH7REIMS0/EPgYEVjvZ1FKDoA2nAR1Nmn4ruQ==" saltValue="ryUPcTfKDzEfAZY+7CGY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AqgQvOvzWTg0YIHWsuj4EE6zaV3mmtkznZoGWM13uyO0fTBTjS5Ovytu851PmdAw7nnMpf1lVMf0s8KTia8aA==" saltValue="74BgBPlqbysOptk7gKQI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SFe51Hen3VCSodg1agNjCcQ6vgICxGs/Rghpe7PirmXGqTCr9Zci+ihKbgCDqqHb0GgXIon3qW0eAStH2fLDw==" saltValue="tEgGxGi6rCZIuuV6CBCgH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MARIN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0.26385964912280702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0.1865769471762399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sWXtVF2nkRkUB9ps0I4f1q91tT9Kom43FRRdxSaIakQ5fAG+d7xvyhVFPz1+hSLPZFRSLAd3Ks39iQYz0LInKg==" saltValue="GPI1L4PFymSNlkNgTUeEV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PVVD+gvhXjf1jInDAF/eNRo/PKX7nmdZsvARuSBTVdoNZcV0xTzl80CJ+yexvxuML4FokK1bIev1qmawIsssVw==" saltValue="smeFizFOWkVYD6qubvjv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MARIN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8</v>
      </c>
      <c r="F10" s="452">
        <f>IF(ISNUMBER(E10/B10),E10/B10," - ")</f>
        <v>8</v>
      </c>
      <c r="G10" s="451">
        <f>IF(ISNUMBER(Datos!K10),Datos!K10," - ")</f>
        <v>12</v>
      </c>
      <c r="H10" s="452">
        <f>IF(ISNUMBER(G10/B10),G10/B10," - ")</f>
        <v>12</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859</v>
      </c>
      <c r="D12" s="452">
        <f>IF(ISNUMBER(C12/Datos!BH12),C12/Datos!BH12," - ")</f>
        <v>429.5</v>
      </c>
      <c r="E12" s="451">
        <f>IF(ISNUMBER(IF(J_V="SI",Datos!J12,Datos!J12+Datos!Z12)),IF(J_V="SI",Datos!J12,Datos!J12+Datos!Z12)," - ")</f>
        <v>1633</v>
      </c>
      <c r="F12" s="452">
        <f>IF(ISNUMBER(E12/B12),E12/B12," - ")</f>
        <v>816.5</v>
      </c>
      <c r="G12" s="451">
        <f>IF(ISNUMBER(IF(J_V="SI",Datos!K12,Datos!K12+Datos!AA12)),IF(J_V="SI",Datos!K12,Datos!K12+Datos!AA12)," - ")</f>
        <v>1413</v>
      </c>
      <c r="H12" s="452">
        <f>IF(ISNUMBER(G12/B12),G12/B12," - ")</f>
        <v>706.5</v>
      </c>
      <c r="I12" s="451">
        <f>IF(ISNUMBER(IF(J_V="SI",Datos!L12,Datos!L12+Datos!AB12)),IF(J_V="SI",Datos!L12,Datos!L12+Datos!AB12)," - ")</f>
        <v>1079</v>
      </c>
      <c r="J12" s="452">
        <f>IF(ISNUMBER(I12/B12),I12/B12," - ")</f>
        <v>539.5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873</v>
      </c>
      <c r="D14" s="1147" t="str">
        <f>IF(ISNUMBER(C14/Datos!BI14),C14/Datos!BI14," - ")</f>
        <v xml:space="preserve"> - </v>
      </c>
      <c r="E14" s="1146">
        <f>SUBTOTAL(9,E8:E13)</f>
        <v>1641</v>
      </c>
      <c r="F14" s="1147">
        <f>IF(ISNUMBER(E14/B14),E14/B14," - ")</f>
        <v>820.5</v>
      </c>
      <c r="G14" s="1146">
        <f>SUBTOTAL(9,G8:G13)</f>
        <v>1425</v>
      </c>
      <c r="H14" s="1147">
        <f>IF(ISNUMBER(G14/B14),G14/B14," - ")</f>
        <v>712.5</v>
      </c>
      <c r="I14" s="1146">
        <f>SUBTOTAL(9,I8:I13)</f>
        <v>1089</v>
      </c>
      <c r="J14" s="1147">
        <f>IF(ISNUMBER(I14/B14),I14/B14," - ")</f>
        <v>544.5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268</v>
      </c>
      <c r="D17" s="452">
        <f>IF(ISNUMBER(C17/Datos!BH17),C17/Datos!BH17," - ")</f>
        <v>134</v>
      </c>
      <c r="E17" s="451">
        <f>IF(ISNUMBER(IF(D_I="SI",Datos!J17,Datos!J17+Datos!AD17)),IF(D_I="SI",Datos!J17,Datos!J17+Datos!AD17)," - ")</f>
        <v>1035</v>
      </c>
      <c r="F17" s="452">
        <f>IF(ISNUMBER(E17/B17),E17/B17," - ")</f>
        <v>517.5</v>
      </c>
      <c r="G17" s="451">
        <f>IF(ISNUMBER(IF(D_I="SI",Datos!K17,Datos!K17+Datos!AE17)),IF(D_I="SI",Datos!K17,Datos!K17+Datos!AE17)," - ")</f>
        <v>935</v>
      </c>
      <c r="H17" s="452">
        <f>IF(ISNUMBER(G17/B17),G17/B17," - ")</f>
        <v>467.5</v>
      </c>
      <c r="I17" s="451">
        <f>IF(ISNUMBER(IF(D_I="SI",Datos!L17,Datos!L17+Datos!AF17)),IF(D_I="SI",Datos!L17,Datos!L17+Datos!AF17)," - ")</f>
        <v>370</v>
      </c>
      <c r="J17" s="452">
        <f>IF(ISNUMBER(I17/B17),I17/B17," - ")</f>
        <v>185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124</v>
      </c>
      <c r="F18" s="452">
        <f>IF(ISNUMBER(E18/B18),E18/B18," - ")</f>
        <v>124</v>
      </c>
      <c r="G18" s="451">
        <f>IF(ISNUMBER(IF(D_I="SI",Datos!K18,Datos!K18+Datos!AE18)),IF(D_I="SI",Datos!K18,Datos!K18+Datos!AE18)," - ")</f>
        <v>121</v>
      </c>
      <c r="H18" s="452">
        <f>IF(ISNUMBER(G18/B18),G18/B18," - ")</f>
        <v>121</v>
      </c>
      <c r="I18" s="451">
        <f>IF(ISNUMBER(IF(D_I="SI",Datos!L18,Datos!L18+Datos!AF18)),IF(D_I="SI",Datos!L18,Datos!L18+Datos!AF18)," - ")</f>
        <v>26</v>
      </c>
      <c r="J18" s="452">
        <f>IF(ISNUMBER(I18/B18),I18/B18," - ")</f>
        <v>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289</v>
      </c>
      <c r="D23" s="1147" t="str">
        <f>IF(ISNUMBER(C23/Datos!BI23),C23/Datos!BI23," - ")</f>
        <v xml:space="preserve"> - </v>
      </c>
      <c r="E23" s="1146">
        <f>SUBTOTAL(9,E15:E22)</f>
        <v>1159</v>
      </c>
      <c r="F23" s="1147">
        <f>IF(ISNUMBER(E23/B23),E23/B23," - ")</f>
        <v>579.5</v>
      </c>
      <c r="G23" s="1146">
        <f>SUBTOTAL(9,G15:G22)</f>
        <v>1056</v>
      </c>
      <c r="H23" s="1147">
        <f>IF(ISNUMBER(G23/B23),G23/B23," - ")</f>
        <v>528</v>
      </c>
      <c r="I23" s="1146">
        <f>SUBTOTAL(9,I15:I22)</f>
        <v>396</v>
      </c>
      <c r="J23" s="1147">
        <f>IF(ISNUMBER(I23/B23),I23/B23," - ")</f>
        <v>198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1162</v>
      </c>
      <c r="D31" s="1085" t="str">
        <f>IF(ISNUMBER(C31/Datos!BI31),C31/Datos!BI31," - ")</f>
        <v xml:space="preserve"> - </v>
      </c>
      <c r="E31" s="1084">
        <f>SUBTOTAL(9,E9:E30)</f>
        <v>2800</v>
      </c>
      <c r="F31" s="1085">
        <f>IF(ISNUMBER(E31/B31),E31/B31," - ")</f>
        <v>1400</v>
      </c>
      <c r="G31" s="1084">
        <f>SUBTOTAL(9,G9:G30)</f>
        <v>2481</v>
      </c>
      <c r="H31" s="1085">
        <f>IF(ISNUMBER(G31/B31),G31/B31," - ")</f>
        <v>1240.5</v>
      </c>
      <c r="I31" s="1084">
        <f>SUBTOTAL(9,I9:I30)</f>
        <v>1485</v>
      </c>
      <c r="J31" s="1085">
        <f>IF(ISNUMBER(I31/B31),I31/B31," - ")</f>
        <v>742.5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8zdFOK+bgiNih66zyD556HqQoWl06e1x/zxu8DvB9OOOM2i92qjbo4/XrSBLVY/bY3Ez2Bqu0Sw167UIn7x8ig==" saltValue="7SlLKKSq0m3vHu6QNSov1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MARIN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9.1666666666666679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583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1332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372</v>
      </c>
      <c r="AM12" s="914">
        <f>IF(ISNUMBER(Datos!N12+DatosP!N17),Datos!N12+DatosP!N17," - ")</f>
        <v>472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8.3998584571832975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-0.16750000000000001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316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583</v>
      </c>
      <c r="AE14" s="1257">
        <f t="shared" si="1"/>
        <v>0</v>
      </c>
      <c r="AF14" s="1257">
        <f t="shared" si="1"/>
        <v>10</v>
      </c>
      <c r="AG14" s="1257">
        <f t="shared" si="1"/>
        <v>0</v>
      </c>
      <c r="AH14" s="1257">
        <f t="shared" si="1"/>
        <v>1332</v>
      </c>
      <c r="AI14" s="1257">
        <f t="shared" si="1"/>
        <v>0</v>
      </c>
      <c r="AJ14" s="1257">
        <f t="shared" si="1"/>
        <v>0</v>
      </c>
      <c r="AK14" s="1257">
        <f t="shared" si="1"/>
        <v>0</v>
      </c>
      <c r="AL14" s="1257">
        <f t="shared" si="1"/>
        <v>376</v>
      </c>
      <c r="AM14" s="1257">
        <f t="shared" si="1"/>
        <v>474</v>
      </c>
      <c r="AN14" s="1257">
        <f t="shared" si="1"/>
        <v>0</v>
      </c>
      <c r="AO14" s="1257">
        <f t="shared" si="1"/>
        <v>0</v>
      </c>
      <c r="AP14" s="1262">
        <f>IF(ISNUMBER(((Datos!L14/Datos!K14)*11)/factor_trimestre),((Datos!L14/Datos!K14)*11)/factor_trimestre," - ")</f>
        <v>9.0354118552732867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-0.8571428571428571</v>
      </c>
      <c r="AU14" s="1257" t="str">
        <f>IF(ISNUMBER((DatosP!#REF!-DatosP!#REF!+DatosP!#REF!)/(DatosP!#REF!+DatosP!#REF!-DatosP!#REF!-DatosP!#REF!)),(DatosP!#REF!-DatosP!#REF!+DatosP!#REF!)/(DatosP!#REF!+DatosP!#REF!-DatosP!#REF!-DatosP!#REF!)," - ")</f>
        <v xml:space="preserve"> - </v>
      </c>
      <c r="AV14" s="1263">
        <f>SUBTOTAL(9,AV9:AV13)</f>
        <v>-0.16750000000000001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4.125</v>
      </c>
      <c r="AQ23" s="1262">
        <f>IF(ISNUMBER(((Datos!M23/Datos!L23)*11)/factor_trimestre),((Datos!M23/Datos!L23)*11)/factor_trimestre," - ")</f>
        <v>6.8888888888888893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-0.1111111111111111</v>
      </c>
      <c r="AW23" s="1265">
        <f>IF(ISNUMBER((Datos!Q23-Datos!R23)/(Datos!S23-Datos!Q23+Datos!R23)),(Datos!Q23-Datos!R23)/(Datos!S23-Datos!Q23+Datos!R23)," - ")</f>
        <v>-1.3793103448275862E-2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316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583</v>
      </c>
      <c r="AE31" s="1284">
        <f t="shared" si="9"/>
        <v>0</v>
      </c>
      <c r="AF31" s="1285">
        <f t="shared" si="9"/>
        <v>10</v>
      </c>
      <c r="AG31" s="1285">
        <f t="shared" si="9"/>
        <v>0</v>
      </c>
      <c r="AH31" s="1285">
        <f t="shared" si="9"/>
        <v>1332</v>
      </c>
      <c r="AI31" s="1285">
        <f t="shared" si="9"/>
        <v>0</v>
      </c>
      <c r="AJ31" s="1286">
        <f t="shared" si="9"/>
        <v>0</v>
      </c>
      <c r="AK31" s="1286">
        <f t="shared" si="9"/>
        <v>0</v>
      </c>
      <c r="AL31" s="1278">
        <f t="shared" si="9"/>
        <v>376</v>
      </c>
      <c r="AM31" s="1278">
        <f t="shared" si="9"/>
        <v>474</v>
      </c>
      <c r="AN31" s="1278">
        <f t="shared" si="9"/>
        <v>0</v>
      </c>
      <c r="AO31" s="1278">
        <f t="shared" si="9"/>
        <v>0</v>
      </c>
      <c r="AP31" s="1278">
        <f>IF(ISNUMBER(((Datos!L31/Datos!K31)*11)/factor_trimestre),((Datos!L31/Datos!K31)*11)/factor_trimestre," - ")</f>
        <v>6.8335456475583864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-0.8571428571428571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-0.16495468277945619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192.62675480489895</v>
      </c>
      <c r="AM33" s="1006"/>
      <c r="AN33" s="1006">
        <f>IF(ISNUMBER(STDEV(AN8:AN30)),STDEV(AN8:AN30),"-")</f>
        <v>0</v>
      </c>
      <c r="AO33" s="1012">
        <f>IF(ISNUMBER(STDEV(AO8:AO30)),STDEV(AO8:AO30),"-")</f>
        <v>0</v>
      </c>
      <c r="AP33" s="1065">
        <f>IF(ISNUMBER(STDEV(AP8:AP30)),STDEV(AP8:AP30),"-")</f>
        <v>2.3946835729139404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bMccYgXTeQ+FcRny77URlF9r70fp0i5DmkUXjAk29Z7W/do5ZN4HA1lIOICS8WiXki26D5m7pty1I1c0l/c7Sw==" saltValue="IM28ldiumldjGJ7B78qm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MARIN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KW7Z2+P3AhXZXu3vBbkcySNYgi6oT8XPvuXRhRKFvXHJIsv1+5JOgtXSbHFx7+isnVZGLYbDG4jGdyIlTVLOGg==" saltValue="fPV0F5opidZoWW7NSdG6k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MARIN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372</v>
      </c>
      <c r="E12" s="452">
        <f t="shared" si="0"/>
        <v>186</v>
      </c>
      <c r="F12" s="451">
        <f>IF(ISNUMBER(Datos!N12),Datos!N12," - ")</f>
        <v>472</v>
      </c>
      <c r="G12" s="452">
        <f t="shared" si="1"/>
        <v>236</v>
      </c>
      <c r="H12" s="451">
        <f>IF(ISNUMBER(Datos!O12),Datos!O12," - ")</f>
        <v>650</v>
      </c>
      <c r="I12" s="452">
        <f t="shared" si="2"/>
        <v>325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376</v>
      </c>
      <c r="E14" s="1147">
        <f t="shared" si="0"/>
        <v>125.33333333333333</v>
      </c>
      <c r="F14" s="1146">
        <f>SUBTOTAL(9,F9:F13)</f>
        <v>474</v>
      </c>
      <c r="G14" s="1147">
        <f t="shared" si="1"/>
        <v>158</v>
      </c>
      <c r="H14" s="1146">
        <f>SUBTOTAL(9,H9:H13)</f>
        <v>650</v>
      </c>
      <c r="I14" s="1147">
        <f>IF(ISNUMBER(H14/B14),H14/B14," - ")</f>
        <v>216.66666666666666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230</v>
      </c>
      <c r="E17" s="452">
        <f t="shared" si="3"/>
        <v>115</v>
      </c>
      <c r="F17" s="451">
        <f>IF(ISNUMBER(Datos!N17),Datos!N17," - ")</f>
        <v>420</v>
      </c>
      <c r="G17" s="452">
        <f t="shared" si="4"/>
        <v>210</v>
      </c>
      <c r="H17" s="451">
        <f>IF(ISNUMBER(Datos!O17),Datos!O17," - ")</f>
        <v>2</v>
      </c>
      <c r="I17" s="452">
        <f t="shared" si="5"/>
        <v>1</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74</v>
      </c>
      <c r="G18" s="452">
        <f>IF(ISNUMBER(F18/B18),F18/B18," - ")</f>
        <v>74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248</v>
      </c>
      <c r="E23" s="1147">
        <f t="shared" si="3"/>
        <v>82.666666666666671</v>
      </c>
      <c r="F23" s="1146">
        <f>SUBTOTAL(9,F16:F22)</f>
        <v>494</v>
      </c>
      <c r="G23" s="1147">
        <f t="shared" si="4"/>
        <v>164.66666666666666</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624</v>
      </c>
      <c r="E31" s="1085">
        <f>IF(ISNUMBER(D31/B31),D31/B31," - ")</f>
        <v>312</v>
      </c>
      <c r="F31" s="1084">
        <f>SUBTOTAL(9,F8:F30)</f>
        <v>968</v>
      </c>
      <c r="G31" s="1085">
        <f>IF(ISNUMBER(F31/B31),F31/B31," - ")</f>
        <v>484</v>
      </c>
      <c r="H31" s="1084">
        <f>SUBTOTAL(9,H8:H30)</f>
        <v>652</v>
      </c>
      <c r="I31" s="1085">
        <f>IF(ISNUMBER(H31/B31),H31/B31," - ")</f>
        <v>326</v>
      </c>
    </row>
    <row r="34" spans="1:1">
      <c r="A34" s="439" t="str">
        <f>Criterios!A4</f>
        <v>Fecha Informe: 14 abr. 2023</v>
      </c>
    </row>
    <row r="39" spans="1:1">
      <c r="A39" s="462"/>
    </row>
  </sheetData>
  <sheetProtection algorithmName="SHA-512" hashValue="ctflcBJc0r0a1hE5i/+VHd85TJDxlVPhmsNkKSj9GDGC2aLHSfsY3R18mg50FOfOF0V7j3WvRqa15kqsds5/0w==" saltValue="XT4op4r/QcWpp4rxZBah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MARIN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315</v>
      </c>
      <c r="C12" s="489">
        <f>IF(ISNUMBER(Datos!Q12),Datos!Q12," - ")</f>
        <v>583</v>
      </c>
      <c r="D12" s="456">
        <f>IF(ISNUMBER(Datos!R12),Datos!R12," - ")</f>
        <v>1332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316</v>
      </c>
      <c r="C14" s="1150">
        <f>SUBTOTAL(9,C9:C13)</f>
        <v>583</v>
      </c>
      <c r="D14" s="1148">
        <f>SUBTOTAL(9,D9:D13)</f>
        <v>1334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36</v>
      </c>
      <c r="C17" s="489">
        <f>IF(ISNUMBER(Datos!Q17),Datos!Q17," - ")</f>
        <v>42</v>
      </c>
      <c r="D17" s="456">
        <f>IF(ISNUMBER(Datos!R17),Datos!R17," - ")</f>
        <v>47</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36</v>
      </c>
      <c r="C23" s="1150">
        <f>SUBTOTAL(9,C16:C22)</f>
        <v>42</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352</v>
      </c>
      <c r="C31" s="1089">
        <f>SUBTOTAL(9,C8:C30)</f>
        <v>625</v>
      </c>
      <c r="D31" s="1090">
        <f>SUBTOTAL(9,D8:D30)</f>
        <v>1382</v>
      </c>
    </row>
    <row r="32" spans="1:4" ht="7.5" customHeight="1"/>
    <row r="33" spans="1:1" ht="6" customHeight="1"/>
    <row r="34" spans="1:1">
      <c r="A34" s="439" t="str">
        <f>Criterios!A4</f>
        <v>Fecha Informe: 14 abr. 2023</v>
      </c>
    </row>
    <row r="39" spans="1:1">
      <c r="A39" s="462"/>
    </row>
  </sheetData>
  <sheetProtection algorithmName="SHA-512" hashValue="P1Y90hCVkV+AZV68cyt8haGEq7UYoiyMBgEFzTUVj7MBsM/hubZC7wPGxo2+b+t8zsRVvn+5iCw4n8CTopOK0w==" saltValue="lTmrlHQLjbYgUBP0WUtF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MARIN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-0.38461538461538464</v>
      </c>
      <c r="D10" s="515">
        <f>IF(ISNUMBER((Datos!K10-Datos!U10)/Datos!U10),(Datos!K10-Datos!U10)/Datos!U10," - ")</f>
        <v>-7.6923076923076927E-2</v>
      </c>
      <c r="E10" s="515">
        <f>IF(ISNUMBER((Datos!L10-Datos!V10)/Datos!V10),(Datos!L10-Datos!V10)/Datos!V10," - ")</f>
        <v>-0.2857142857142857</v>
      </c>
      <c r="F10" s="515">
        <f>IF(ISNUMBER((Datos!M10-Datos!W10)/Datos!W10),(Datos!M10-Datos!W10)/Datos!W10," - ")</f>
        <v>-0.5</v>
      </c>
      <c r="G10" s="516">
        <f>IF(ISNUMBER((Datos!N10-Datos!X10)/Datos!X10),(Datos!N10-Datos!X10)/Datos!X10," - ")</f>
        <v>0</v>
      </c>
      <c r="H10" s="514">
        <f>IF(ISNUMBER(((NºAsuntos!G10/NºAsuntos!E10)-Datos!BD10)/Datos!BD10),((NºAsuntos!G10/NºAsuntos!E10)-Datos!BD10)/Datos!BD10," - ")</f>
        <v>0.5</v>
      </c>
      <c r="I10" s="515">
        <f>IF(ISNUMBER(((NºAsuntos!I10/NºAsuntos!G10)-Datos!BE10)/Datos!BE10),((NºAsuntos!I10/NºAsuntos!G10)-Datos!BE10)/Datos!BE10," - ")</f>
        <v>-0.22619047619047611</v>
      </c>
      <c r="J10" s="521">
        <f>IF(ISNUMBER((('Resol  Asuntos'!D10/NºAsuntos!G10)-Datos!BF10)/Datos!BF10),(('Resol  Asuntos'!D10/NºAsuntos!G10)-Datos!BF10)/Datos!BF10," - ")</f>
        <v>-0.45833333333333337</v>
      </c>
      <c r="K10" s="522">
        <f>IF(ISNUMBER((((NºAsuntos!C10+NºAsuntos!E10)/NºAsuntos!G10)-Datos!BG10)/Datos!BG10),(((NºAsuntos!C10+NºAsuntos!E10)/NºAsuntos!G10)-Datos!BG10)/Datos!BG10," - ")</f>
        <v>-0.11728395061728406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-4.7671840354767181E-2</v>
      </c>
      <c r="C12" s="515">
        <f>IF(ISNUMBER(
   IF(J_V="SI",(Datos!J12-Datos!T12)/Datos!T12,(Datos!J12+Datos!Z12-(Datos!T12+Datos!AH12))/(Datos!T12+Datos!AH12))
     ),IF(J_V="SI",(Datos!J12-Datos!T12)/Datos!T12,(Datos!J12+Datos!Z12-(Datos!T12+Datos!AH12))/(Datos!T12+Datos!AH12))," - ")</f>
        <v>6.6623122142390592E-2</v>
      </c>
      <c r="D12" s="515">
        <f>IF(ISNUMBER(
   IF(J_V="SI",(Datos!K12-Datos!U12)/Datos!U12,(Datos!K12+Datos!AA12-(Datos!U12+Datos!AI12))/(Datos!U12+Datos!AI12))
     ),IF(J_V="SI",(Datos!K12-Datos!U12)/Datos!U12,(Datos!K12+Datos!AA12-(Datos!U12+Datos!AI12))/(Datos!U12+Datos!AI12))," - ")</f>
        <v>0</v>
      </c>
      <c r="E12" s="515">
        <f>IF(ISNUMBER(
   IF(J_V="SI",(Datos!L12-Datos!V12)/Datos!V12,(Datos!L12+Datos!AB12-(Datos!V12+Datos!AJ12))/(Datos!V12+Datos!AJ12))
     ),IF(J_V="SI",(Datos!L12-Datos!V12)/Datos!V12,(Datos!L12+Datos!AB12-(Datos!V12+Datos!AJ12))/(Datos!V12+Datos!AJ12))," - ")</f>
        <v>0.25611175785797441</v>
      </c>
      <c r="F12" s="515">
        <f>IF(ISNUMBER((Datos!M12-Datos!W12)/Datos!W12),(Datos!M12-Datos!W12)/Datos!W12," - ")</f>
        <v>0.19614147909967847</v>
      </c>
      <c r="G12" s="516">
        <f>IF(ISNUMBER((Datos!N12-Datos!X12)/Datos!X12),(Datos!N12-Datos!X12)/Datos!X12," - ")</f>
        <v>-0.10606060606060606</v>
      </c>
      <c r="H12" s="514">
        <f>IF(ISNUMBER(((NºAsuntos!G12/NºAsuntos!E12)-Datos!BD12)/Datos!BD12),((NºAsuntos!G12/NºAsuntos!E12)-Datos!BD12)/Datos!BD12," - ")</f>
        <v>-6.2461726883037375E-2</v>
      </c>
      <c r="I12" s="515">
        <f>IF(ISNUMBER(((NºAsuntos!I12/NºAsuntos!G12)-Datos!BE12)/Datos!BE12),((NºAsuntos!I12/NºAsuntos!G12)-Datos!BE12)/Datos!BE12," - ")</f>
        <v>0.25611175785797424</v>
      </c>
      <c r="J12" s="521">
        <f>IF(ISNUMBER((('Resol  Asuntos'!D12/NºAsuntos!G12)-Datos!BF12)/Datos!BF12),(('Resol  Asuntos'!D12/NºAsuntos!G12)-Datos!BF12)/Datos!BF12," - ")</f>
        <v>-0.29545454545454541</v>
      </c>
      <c r="K12" s="522">
        <f>IF(ISNUMBER((((NºAsuntos!C12+NºAsuntos!E12)/NºAsuntos!G12)-Datos!BG12)/Datos!BG12),(((NºAsuntos!C12+NºAsuntos!E12)/NºAsuntos!G12)-Datos!BG12)/Datos!BG12," - ")</f>
        <v>2.4249897246198061E-2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-4.6943231441048033E-2</v>
      </c>
      <c r="C14" s="1152">
        <f>IF(ISNUMBER(
   IF(J_V="SI",(Datos!J14-Datos!T14)/Datos!T14,(Datos!J14+Datos!Z14-(Datos!T14+Datos!AH14))/(Datos!T14+Datos!AH14))
     ),IF(J_V="SI",(Datos!J14-Datos!T14)/Datos!T14,(Datos!J14+Datos!Z14-(Datos!T14+Datos!AH14))/(Datos!T14+Datos!AH14))," - ")</f>
        <v>6.2823834196891193E-2</v>
      </c>
      <c r="D14" s="1152">
        <f>IF(ISNUMBER(
   IF(J_V="SI",(Datos!K14-Datos!U14)/Datos!U14,(Datos!K14+Datos!AA14-(Datos!U14+Datos!AI14))/(Datos!U14+Datos!AI14))
     ),IF(J_V="SI",(Datos!K14-Datos!U14)/Datos!U14,(Datos!K14+Datos!AA14-(Datos!U14+Datos!AI14))/(Datos!U14+Datos!AI14))," - ")</f>
        <v>-7.0126227208976155E-4</v>
      </c>
      <c r="E14" s="1152">
        <f>IF(ISNUMBER(
   IF(J_V="SI",(Datos!L14-Datos!V14)/Datos!V14,(Datos!L14+Datos!AB14-(Datos!V14+Datos!AJ14))/(Datos!V14+Datos!AJ14))
     ),IF(J_V="SI",(Datos!L14-Datos!V14)/Datos!V14,(Datos!L14+Datos!AB14-(Datos!V14+Datos!AJ14))/(Datos!V14+Datos!AJ14))," - ")</f>
        <v>0.24742268041237114</v>
      </c>
      <c r="F14" s="1153">
        <f>IF(ISNUMBER((Datos!M14-Datos!W14)/Datos!W14),(Datos!M14-Datos!W14)/Datos!W14," - ")</f>
        <v>0.17868338557993729</v>
      </c>
      <c r="G14" s="1154">
        <f>IF(ISNUMBER((Datos!N14-Datos!X14)/Datos!X14),(Datos!N14-Datos!X14)/Datos!X14," - ")</f>
        <v>-0.10566037735849057</v>
      </c>
      <c r="H14" s="1154">
        <f>IF(ISNUMBER(((NºAsuntos!G14/NºAsuntos!E14)-Datos!BD14)/Datos!BD14),((NºAsuntos!G14/NºAsuntos!E14)-Datos!BD14)/Datos!BD14," - ")</f>
        <v>-5.9770109048206309E-2</v>
      </c>
      <c r="I14" s="1154">
        <f>IF(ISNUMBER(((NºAsuntos!I14/NºAsuntos!G14)-Datos!BE14)/Datos!BE14),((NºAsuntos!I14/NºAsuntos!G14)-Datos!BE14)/Datos!BE14," - ")</f>
        <v>0.24829806474950258</v>
      </c>
      <c r="J14" s="1154">
        <f>IF(ISNUMBER((('Resol  Asuntos'!D14/NºAsuntos!G14)-Datos!BF14)/Datos!BF14),(('Resol  Asuntos'!D14/NºAsuntos!G14)-Datos!BF14)/Datos!BF14," - ")</f>
        <v>-0.29801518722178577</v>
      </c>
      <c r="K14" s="1154">
        <f>IF(ISNUMBER((((NºAsuntos!C14+NºAsuntos!E14)/NºAsuntos!G14)-Datos!BG14)/Datos!BG14),(((NºAsuntos!C14+NºAsuntos!E14)/NºAsuntos!G14)-Datos!BG14)/Datos!BG14," - ")</f>
        <v>2.2668378262730045E-2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-0.27173913043478259</v>
      </c>
      <c r="C17" s="515">
        <f>IF(ISNUMBER(
   IF(D_I="SI",(Datos!J17-Datos!T17)/Datos!T17,(Datos!J17+Datos!AD17-(Datos!T17+Datos!AL17))/(Datos!T17+Datos!AL17))
     ),IF(D_I="SI",(Datos!J17-Datos!T17)/Datos!T17,(Datos!J17+Datos!AD17-(Datos!T17+Datos!AL17))/(Datos!T17+Datos!AL17))," - ")</f>
        <v>-8.6206896551724137E-3</v>
      </c>
      <c r="D17" s="515">
        <f>IF(ISNUMBER(
   IF(D_I="SI",(Datos!K17-Datos!U17)/Datos!U17,(Datos!K17+Datos!AE17-(Datos!U17+Datos!AM17))/(Datos!U17+Datos!AM17))
     ),IF(D_I="SI",(Datos!K17-Datos!U17)/Datos!U17,(Datos!K17+Datos!AE17-(Datos!U17+Datos!AM17))/(Datos!U17+Datos!AM17))," - ")</f>
        <v>-8.7804878048780483E-2</v>
      </c>
      <c r="E17" s="515">
        <f>IF(ISNUMBER(
   IF(D_I="SI",(Datos!L17-Datos!V17)/Datos!V17,(Datos!L17+Datos!AF17-(Datos!V17+Datos!AN17))/(Datos!V17+Datos!AN17))
     ),IF(D_I="SI",(Datos!L17-Datos!V17)/Datos!V17,(Datos!L17+Datos!AF17-(Datos!V17+Datos!AN17))/(Datos!V17+Datos!AN17))," - ")</f>
        <v>0.38059701492537312</v>
      </c>
      <c r="F17" s="515">
        <f>IF(ISNUMBER((Datos!M17-Datos!W17)/Datos!W17),(Datos!M17-Datos!W17)/Datos!W17," - ")</f>
        <v>0.10047846889952153</v>
      </c>
      <c r="G17" s="516">
        <f>IF(ISNUMBER((Datos!N17-Datos!X17)/Datos!X17),(Datos!N17-Datos!X17)/Datos!X17," - ")</f>
        <v>-0.13223140495867769</v>
      </c>
      <c r="H17" s="514">
        <f>IF(ISNUMBER(((NºAsuntos!G17/NºAsuntos!E17)-Datos!BD17)/Datos!BD17),((NºAsuntos!G17/NºAsuntos!E17)-Datos!BD17)/Datos!BD17," - ")</f>
        <v>-7.9872746553552434E-2</v>
      </c>
      <c r="I17" s="515">
        <f>IF(ISNUMBER(((NºAsuntos!I17/NºAsuntos!G17)-Datos!BE17)/Datos!BE17),((NºAsuntos!I17/NºAsuntos!G17)-Datos!BE17)/Datos!BE17," - ")</f>
        <v>0.51348870620161235</v>
      </c>
      <c r="J17" s="521">
        <f>IF(ISNUMBER((('Resol  Asuntos'!D17/NºAsuntos!G17)-Datos!BF17)/Datos!BF17),(('Resol  Asuntos'!D17/NºAsuntos!G17)-Datos!BF17)/Datos!BF17," - ")</f>
        <v>0.20640687767059859</v>
      </c>
      <c r="K17" s="522">
        <f>IF(ISNUMBER((((NºAsuntos!C17+NºAsuntos!E17)/NºAsuntos!G17)-Datos!BG17)/Datos!BG17),(((NºAsuntos!C17+NºAsuntos!E17)/NºAsuntos!G17)-Datos!BG17)/Datos!BG17," - ")</f>
        <v>1.1630637318022816E-2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-0.65573770491803274</v>
      </c>
      <c r="C18" s="515">
        <f>IF(ISNUMBER(
   IF(D_I="SI",(Datos!J18-Datos!T18)/Datos!T18,(Datos!J18+Datos!AD18-(Datos!T18+Datos!AL18))/(Datos!T18+Datos!AL18))
     ),IF(D_I="SI",(Datos!J18-Datos!T18)/Datos!T18,(Datos!J18+Datos!AD18-(Datos!T18+Datos!AL18))/(Datos!T18+Datos!AL18))," - ")</f>
        <v>9.7345132743362831E-2</v>
      </c>
      <c r="D18" s="515">
        <f>IF(ISNUMBER(
   IF(D_I="SI",(Datos!K18-Datos!U18)/Datos!U18,(Datos!K18+Datos!AE18-(Datos!U18+Datos!AM18))/(Datos!U18+Datos!AM18))
     ),IF(D_I="SI",(Datos!K18-Datos!U18)/Datos!U18,(Datos!K18+Datos!AE18-(Datos!U18+Datos!AM18))/(Datos!U18+Datos!AM18))," - ")</f>
        <v>0.11009174311926606</v>
      </c>
      <c r="E18" s="515">
        <f>IF(ISNUMBER(
   IF(D_I="SI",(Datos!L18-Datos!V18)/Datos!V18,(Datos!L18+Datos!AF18-(Datos!V18+Datos!AN18))/(Datos!V18+Datos!AN18))
     ),IF(D_I="SI",(Datos!L18-Datos!V18)/Datos!V18,(Datos!L18+Datos!AF18-(Datos!V18+Datos!AN18))/(Datos!V18+Datos!AN18))," - ")</f>
        <v>0.23809523809523808</v>
      </c>
      <c r="F18" s="515">
        <f>IF(ISNUMBER((Datos!M18-Datos!W18)/Datos!W18),(Datos!M18-Datos!W18)/Datos!W18," - ")</f>
        <v>0</v>
      </c>
      <c r="G18" s="516">
        <f>IF(ISNUMBER((Datos!N18-Datos!X18)/Datos!X18),(Datos!N18-Datos!X18)/Datos!X18," - ")</f>
        <v>-8.6419753086419748E-2</v>
      </c>
      <c r="H18" s="514">
        <f>IF(ISNUMBER(((NºAsuntos!G18/NºAsuntos!E18)-Datos!BD18)/Datos!BD18),((NºAsuntos!G18/NºAsuntos!E18)-Datos!BD18)/Datos!BD18," - ")</f>
        <v>1.1615862681266726E-2</v>
      </c>
      <c r="I18" s="515">
        <f>IF(ISNUMBER(((NºAsuntos!I18/NºAsuntos!G18)-Datos!BE18)/Datos!BE18),((NºAsuntos!I18/NºAsuntos!G18)-Datos!BE18)/Datos!BE18," - ")</f>
        <v>0.11530893349075164</v>
      </c>
      <c r="J18" s="521">
        <f>IF(ISNUMBER((('Resol  Asuntos'!D18/NºAsuntos!G18)-Datos!BF18)/Datos!BF18),(('Resol  Asuntos'!D18/NºAsuntos!G18)-Datos!BF18)/Datos!BF18," - ")</f>
        <v>-9.9173553719008295E-2</v>
      </c>
      <c r="K18" s="522">
        <f>IF(ISNUMBER((((NºAsuntos!C18+NºAsuntos!E18)/NºAsuntos!G18)-Datos!BG18)/Datos!BG18),(((NºAsuntos!C18+NºAsuntos!E18)/NºAsuntos!G18)-Datos!BG18)/Datos!BG18," - ")</f>
        <v>-0.24931129476584021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-0.32634032634032634</v>
      </c>
      <c r="C23" s="1152">
        <f>IF(ISNUMBER(
   IF(Criterios!B14="SI",(Datos!J23-Datos!T23)/Datos!T23,(Datos!J23+Datos!AD23-(Datos!T23+Datos!AL23))/(Datos!T23+Datos!AL23))
     ),IF(Criterios!B14="SI",(Datos!J23-Datos!T23)/Datos!T23,(Datos!J23+Datos!AD23-(Datos!T23+Datos!AL23))/(Datos!T23+Datos!AL23))," - ")</f>
        <v>1.7286084701815039E-3</v>
      </c>
      <c r="D23" s="1152">
        <f>IF(ISNUMBER(
   IF(Criterios!B14="SI",(Datos!K23-Datos!U23)/Datos!U23,(Datos!K23+Datos!AE23-(Datos!U23+Datos!AM23))/(Datos!U23+Datos!AM23))
     ),IF(Criterios!B14="SI",(Datos!K23-Datos!U23)/Datos!U23,(Datos!K23+Datos!AE23-(Datos!U23+Datos!AM23))/(Datos!U23+Datos!AM23))," - ")</f>
        <v>-6.8783068783068779E-2</v>
      </c>
      <c r="E23" s="1152">
        <f>IF(ISNUMBER(
   IF(Criterios!B14="SI",(Datos!L23-Datos!V23)/Datos!V23,(Datos!L23+Datos!AF23-(Datos!V23+Datos!AN23))/(Datos!V23+Datos!AN23))
     ),IF(Criterios!B14="SI",(Datos!L23-Datos!V23)/Datos!V23,(Datos!L23+Datos!AF23-(Datos!V23+Datos!AN23))/(Datos!V23+Datos!AN23))," - ")</f>
        <v>0.37024221453287198</v>
      </c>
      <c r="F23" s="1153">
        <f>IF(ISNUMBER((Datos!M23-Datos!W23)/Datos!W23),(Datos!M23-Datos!W23)/Datos!W23," - ")</f>
        <v>9.2511013215859028E-2</v>
      </c>
      <c r="G23" s="1154">
        <f>IF(ISNUMBER((Datos!N23-Datos!X23)/Datos!X23),(Datos!N23-Datos!X23)/Datos!X23," - ")</f>
        <v>-0.1256637168141593</v>
      </c>
      <c r="H23" s="1154">
        <f>IF(ISNUMBER(((NºAsuntos!G23/NºAsuntos!E23)-Datos!BD23)/Datos!BD23),((NºAsuntos!G23/NºAsuntos!E23)-Datos!BD23)/Datos!BD23," - ")</f>
        <v>-7.0390000502166122E-2</v>
      </c>
      <c r="I23" s="1154">
        <f>IF(ISNUMBER(((NºAsuntos!I23/NºAsuntos!G23)-Datos!BE23)/Datos!BE23),((NºAsuntos!I23/NºAsuntos!G23)-Datos!BE23)/Datos!BE23," - ")</f>
        <v>0.47145328719723173</v>
      </c>
      <c r="J23" s="1154">
        <f>IF(ISNUMBER((('Resol  Asuntos'!D23/NºAsuntos!G23)-Datos!BF23)/Datos!BF23),(('Resol  Asuntos'!D23/NºAsuntos!G23)-Datos!BF23)/Datos!BF23," - ")</f>
        <v>0.17320784941930328</v>
      </c>
      <c r="K23" s="1154">
        <f>IF(ISNUMBER((((NºAsuntos!C23+NºAsuntos!E23)/NºAsuntos!G23)-Datos!BG23)/Datos!BG23),(((NºAsuntos!C23+NºAsuntos!E23)/NºAsuntos!G23)-Datos!BG23)/Datos!BG23," - ")</f>
        <v>-1.9574687607474633E-2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-0.13605947955390335</v>
      </c>
      <c r="C31" s="1092">
        <f>IF(ISNUMBER(
   IF(J_V="SI",(Datos!J31-Datos!T31)/Datos!T31,(Datos!J31+Datos!Z31-(Datos!T31+Datos!AH31))/(Datos!T31+Datos!AH31))
     ),IF(J_V="SI",(Datos!J31-Datos!T31)/Datos!T31,(Datos!J31+Datos!Z31-(Datos!T31+Datos!AH31))/(Datos!T31+Datos!AH31))," - ")</f>
        <v>3.6653091447611995E-2</v>
      </c>
      <c r="D31" s="1092">
        <f>IF(ISNUMBER(
   IF(J_V="SI",(Datos!K31-Datos!U31)/Datos!U31,(Datos!K31+Datos!AA31-(Datos!U31+Datos!AI31))/(Datos!U31+Datos!AI31))
     ),IF(J_V="SI",(Datos!K31-Datos!U31)/Datos!U31,(Datos!K31+Datos!AA31-(Datos!U31+Datos!AI31))/(Datos!U31+Datos!AI31))," - ")</f>
        <v>-3.0859375000000001E-2</v>
      </c>
      <c r="E31" s="1092">
        <f>IF(ISNUMBER(
   IF(J_V="SI",(Datos!L31-Datos!V31)/Datos!V31,(Datos!L31+Datos!AB31-(Datos!V31+Datos!AJ31))/(Datos!V31+Datos!AJ31))
     ),IF(J_V="SI",(Datos!L31-Datos!V31)/Datos!V31,(Datos!L31+Datos!AB31-(Datos!V31+Datos!AJ31))/(Datos!V31+Datos!AJ31))," - ")</f>
        <v>0.27796901893287435</v>
      </c>
      <c r="F31" s="1093">
        <f>IF(ISNUMBER((Datos!M31-Datos!W31)/Datos!W31),(Datos!M31-Datos!W31)/Datos!W31," - ")</f>
        <v>0.14285714285714285</v>
      </c>
      <c r="G31" s="1094">
        <f>IF(ISNUMBER((Datos!N31-Datos!X31)/Datos!X31),(Datos!N31-Datos!X31)/Datos!X31," - ")</f>
        <v>-0.11598173515981736</v>
      </c>
      <c r="H31" s="1095">
        <f>IF(ISNUMBER((Tasas!B31-Datos!BD31)/Datos!BD31),(Tasas!B31-Datos!BD31)/Datos!BD31," - ")</f>
        <v>-6.5125418526785703E-2</v>
      </c>
      <c r="I31" s="1096">
        <f>IF(ISNUMBER((Tasas!C31-Datos!BE31)/Datos!BE31),(Tasas!C31-Datos!BE31)/Datos!BE31," - ")</f>
        <v>0.31866210740353001</v>
      </c>
      <c r="J31" s="1097">
        <f>IF(ISNUMBER((Tasas!D31-Datos!BF31)/Datos!BF31),(Tasas!D31-Datos!BF31)/Datos!BF31," - ")</f>
        <v>-0.15613445937486628</v>
      </c>
      <c r="K31" s="1097">
        <f>IF(ISNUMBER((Tasas!E31-Datos!BG31)/Datos!BG31),(Tasas!E31-Datos!BG31)/Datos!BG31," - ")</f>
        <v>1.0419673951093944E-2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SxseFk14+T98Q60oX/I8Nz5MT3eZgkIDE8L7rvurF5C9L0Po1Jawod9//AJvPHFHDjXvlXuMK8Td6g0EyA4xQ==" saltValue="M00y0NknR6NxKpQaW6/o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MARIN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0.83333333333333337</v>
      </c>
      <c r="D10" s="499">
        <f>IF(ISNUMBER('Resol  Asuntos'!D10/NºAsuntos!G10),'Resol  Asuntos'!D10/NºAsuntos!G10," - ")</f>
        <v>0.33333333333333331</v>
      </c>
      <c r="E10" s="500">
        <f>IF(ISNUMBER((NºAsuntos!C10+NºAsuntos!E10)/NºAsuntos!G10),(NºAsuntos!C10+NºAsuntos!E10)/NºAsuntos!G10," - ")</f>
        <v>1.8333333333333333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0.86527862829148805</v>
      </c>
      <c r="C12" s="498">
        <f>IF(ISNUMBER(NºAsuntos!I12/NºAsuntos!G12),NºAsuntos!I12/NºAsuntos!G12," - ")</f>
        <v>0.76362349610757252</v>
      </c>
      <c r="D12" s="499">
        <f>IF(ISNUMBER('Resol  Asuntos'!D12/NºAsuntos!G12),'Resol  Asuntos'!D12/NºAsuntos!G12," - ")</f>
        <v>0.26326963906581741</v>
      </c>
      <c r="E12" s="500">
        <f>IF(ISNUMBER((NºAsuntos!C12+NºAsuntos!E12)/NºAsuntos!G12),(NºAsuntos!C12+NºAsuntos!E12)/NºAsuntos!G12," - ")</f>
        <v>1.7636234961075725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0.86837294332723947</v>
      </c>
      <c r="C14" s="1156">
        <f>IF(ISNUMBER(NºAsuntos!I14/NºAsuntos!G14),NºAsuntos!I14/NºAsuntos!G14," - ")</f>
        <v>0.76421052631578945</v>
      </c>
      <c r="D14" s="1157">
        <f>IF(ISNUMBER('Resol  Asuntos'!D14/NºAsuntos!G14),'Resol  Asuntos'!D14/NºAsuntos!G14," - ")</f>
        <v>0.26385964912280702</v>
      </c>
      <c r="E14" s="1158">
        <f>IF(ISNUMBER((NºAsuntos!C14+NºAsuntos!E14)/NºAsuntos!G14),(NºAsuntos!C14+NºAsuntos!E14)/NºAsuntos!G14," - ")</f>
        <v>1.7642105263157895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0.90338164251207731</v>
      </c>
      <c r="C17" s="498">
        <f>IF(ISNUMBER(NºAsuntos!I17/NºAsuntos!G17),NºAsuntos!I17/NºAsuntos!G17," - ")</f>
        <v>0.39572192513368987</v>
      </c>
      <c r="D17" s="499">
        <f>IF(ISNUMBER('Resol  Asuntos'!D17/NºAsuntos!G17),'Resol  Asuntos'!D17/NºAsuntos!G17," - ")</f>
        <v>0.24598930481283424</v>
      </c>
      <c r="E17" s="500">
        <f>IF(ISNUMBER((NºAsuntos!C17+NºAsuntos!E17)/NºAsuntos!G17),(NºAsuntos!C17+NºAsuntos!E17)/NºAsuntos!G17," - ")</f>
        <v>1.3935828877005347</v>
      </c>
      <c r="G17" s="523"/>
    </row>
    <row r="18" spans="1:7">
      <c r="A18" s="450" t="str">
        <f>Datos!A18</f>
        <v>Jdos. Violencia contra la mujer</v>
      </c>
      <c r="B18" s="497">
        <f>IF(ISNUMBER(NºAsuntos!G18/NºAsuntos!E18),NºAsuntos!G18/NºAsuntos!E18," - ")</f>
        <v>0.97580645161290325</v>
      </c>
      <c r="C18" s="498">
        <f>IF(ISNUMBER(NºAsuntos!I18/NºAsuntos!G18),NºAsuntos!I18/NºAsuntos!G18," - ")</f>
        <v>0.21487603305785125</v>
      </c>
      <c r="D18" s="499">
        <f>IF(ISNUMBER('Resol  Asuntos'!D18/NºAsuntos!G18),'Resol  Asuntos'!D18/NºAsuntos!G18," - ")</f>
        <v>0.1487603305785124</v>
      </c>
      <c r="E18" s="500">
        <f>IF(ISNUMBER((NºAsuntos!C18+NºAsuntos!E18)/NºAsuntos!G18),(NºAsuntos!C18+NºAsuntos!E18)/NºAsuntos!G18," - ")</f>
        <v>1.1983471074380165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0.911130284728214</v>
      </c>
      <c r="C23" s="1156">
        <f>IF(ISNUMBER(NºAsuntos!I23/NºAsuntos!G23),NºAsuntos!I23/NºAsuntos!G23," - ")</f>
        <v>0.375</v>
      </c>
      <c r="D23" s="1159">
        <f>IF(ISNUMBER('Resol  Asuntos'!D23/NºAsuntos!G23),'Resol  Asuntos'!D23/NºAsuntos!G23," - ")</f>
        <v>0.23484848484848486</v>
      </c>
      <c r="E23" s="1158">
        <f>IF(ISNUMBER((NºAsuntos!C23+NºAsuntos!E23)/NºAsuntos!G23),(NºAsuntos!C23+NºAsuntos!E23)/NºAsuntos!G23," - ")</f>
        <v>1.3712121212121211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0.88607142857142862</v>
      </c>
      <c r="C31" s="1099">
        <f>IF(ISNUMBER(NºAsuntos!I31/NºAsuntos!G31),NºAsuntos!I31/NºAsuntos!G31," - ")</f>
        <v>0.59854897218863357</v>
      </c>
      <c r="D31" s="1100">
        <f>IF(ISNUMBER('Resol  Asuntos'!D31/NºAsuntos!G31),'Resol  Asuntos'!D31/NºAsuntos!G31," - ")</f>
        <v>0.25151148730350664</v>
      </c>
      <c r="E31" s="1101">
        <f>IF(ISNUMBER((NºAsuntos!C31+NºAsuntos!E31)/NºAsuntos!G31),(NºAsuntos!C31+NºAsuntos!E31)/NºAsuntos!G31," - ")</f>
        <v>1.5969367190648931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keZkFWB6MyCW42khDv4YS6KUisSB4tP+f5ccVBn122U3TZ8YVlmyAOkU3wfTDHg0HLuwKKxjYM2jXscK1mxBg==" saltValue="gCfb/drptK3UJPLhEIoDa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MARIN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10</v>
      </c>
      <c r="AB10" s="374">
        <f>IF(ISNUMBER(Datos!R10),Datos!R10," - ")</f>
        <v>2</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9.1666666666666679</v>
      </c>
      <c r="AN10" s="267">
        <f>IF(ISNUMBER('Resol  Asuntos'!D10/NºAsuntos!G10),'Resol  Asuntos'!D10/NºAsuntos!G10," - ")</f>
        <v>0.33333333333333331</v>
      </c>
      <c r="AO10" s="268">
        <f>IF(ISNUMBER((NºAsuntos!C10+NºAsuntos!E10)/NºAsuntos!G10),(NºAsuntos!C10+NºAsuntos!E10)/NºAsuntos!G10," - ")</f>
        <v>1.8333333333333333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583</v>
      </c>
      <c r="Y12" s="374">
        <f t="shared" si="0"/>
        <v>583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1332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372</v>
      </c>
      <c r="AJ12" s="243" t="str">
        <f>IF(ISNUMBER(Datos!BW12),Datos!BW12," - ")</f>
        <v xml:space="preserve"> - </v>
      </c>
      <c r="AK12" s="242" t="str">
        <f>IF(ISNUMBER(Datos!BX12),Datos!BX12," - ")</f>
        <v xml:space="preserve"> - </v>
      </c>
      <c r="AL12" s="266">
        <f>IF(ISNUMBER(NºAsuntos!G12/NºAsuntos!E12),NºAsuntos!G12/NºAsuntos!E12," - ")</f>
        <v>0.86527862829148805</v>
      </c>
      <c r="AM12" s="284">
        <f>IF(ISNUMBER(((NºAsuntos!I12/NºAsuntos!G12)*11)/factor_trimestre),((NºAsuntos!I12/NºAsuntos!G12)*11)/factor_trimestre," - ")</f>
        <v>8.3998584571832975</v>
      </c>
      <c r="AN12" s="267">
        <f>IF(ISNUMBER('Resol  Asuntos'!D12/NºAsuntos!G12),'Resol  Asuntos'!D12/NºAsuntos!G12," - ")</f>
        <v>0.26326963906581741</v>
      </c>
      <c r="AO12" s="268">
        <f>IF(ISNUMBER((NºAsuntos!C12+NºAsuntos!E12)/NºAsuntos!G12),(NºAsuntos!C12+NºAsuntos!E12)/NºAsuntos!G12," - ")</f>
        <v>1.7636234961075725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316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583</v>
      </c>
      <c r="Y14" s="1165">
        <f t="shared" si="6"/>
        <v>595</v>
      </c>
      <c r="Z14" s="1165">
        <f t="shared" si="6"/>
        <v>0</v>
      </c>
      <c r="AA14" s="1165">
        <f t="shared" si="6"/>
        <v>10</v>
      </c>
      <c r="AB14" s="1165">
        <f t="shared" si="6"/>
        <v>1334</v>
      </c>
      <c r="AC14" s="1165">
        <f t="shared" si="6"/>
        <v>12</v>
      </c>
      <c r="AD14" s="1165">
        <f t="shared" si="6"/>
        <v>0</v>
      </c>
      <c r="AE14" s="1169">
        <f t="shared" si="6"/>
        <v>0</v>
      </c>
      <c r="AF14" s="1162">
        <f t="shared" si="6"/>
        <v>0</v>
      </c>
      <c r="AG14" s="1170">
        <f t="shared" si="6"/>
        <v>0</v>
      </c>
      <c r="AH14" s="1167">
        <f t="shared" si="6"/>
        <v>0</v>
      </c>
      <c r="AI14" s="1162">
        <f t="shared" si="6"/>
        <v>376</v>
      </c>
      <c r="AJ14" s="1164">
        <f t="shared" si="6"/>
        <v>0</v>
      </c>
      <c r="AK14" s="1167">
        <f>SUBTOTAL(9,AK9:AK13)</f>
        <v>0</v>
      </c>
      <c r="AL14" s="1171">
        <f>IF(ISNUMBER(NºAsuntos!G14/NºAsuntos!E14),NºAsuntos!G14/NºAsuntos!E14," - ")</f>
        <v>0.86837294332723947</v>
      </c>
      <c r="AM14" s="1171">
        <f>IF(ISNUMBER(((NºAsuntos!I14/NºAsuntos!G14)*11)/factor_trimestre),((NºAsuntos!I14/NºAsuntos!G14)*11)/factor_trimestre," - ")</f>
        <v>8.406315789473684</v>
      </c>
      <c r="AN14" s="1172">
        <f>IF(ISNUMBER('Resol  Asuntos'!D14/NºAsuntos!G14),'Resol  Asuntos'!D14/NºAsuntos!G14," - ")</f>
        <v>0.26385964912280702</v>
      </c>
      <c r="AO14" s="1173">
        <f>IF(ISNUMBER((NºAsuntos!C14+NºAsuntos!E14)/NºAsuntos!G14),(NºAsuntos!C14+NºAsuntos!E14)/NºAsuntos!G14," - ")</f>
        <v>1.7642105263157895</v>
      </c>
      <c r="AP14" s="1174" t="str">
        <f t="shared" si="2"/>
        <v xml:space="preserve"> - </v>
      </c>
      <c r="AQ14" s="1174">
        <f>IF(ISNUMBER((H14-W14+K14)/(F14)),(H14-W14+K14)/(F14)," - ")</f>
        <v>-0.8571428571428571</v>
      </c>
      <c r="AR14" s="1175">
        <f>IF(ISNUMBER((Datos!P14-Datos!Q14)/(Datos!R14-Datos!P14+Datos!Q14)),(Datos!P14-Datos!Q14)/(Datos!R14-Datos!P14+Datos!Q14)," - ")</f>
        <v>-0.16677076826983137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270</v>
      </c>
      <c r="G17" s="373">
        <f>IF(ISNUMBER(IF(D_I="SI",Datos!I17,Datos!I17+Datos!AC17)),IF(D_I="SI",Datos!I17,Datos!I17+Datos!AC17)," - ")</f>
        <v>268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935</v>
      </c>
      <c r="X17" s="240">
        <f>IF(ISNUMBER(Datos!Q17),Datos!Q17," - ")</f>
        <v>42</v>
      </c>
      <c r="Y17" s="374">
        <f t="shared" ref="Y17:Y22" si="9">SUM(W17:X17)</f>
        <v>977</v>
      </c>
      <c r="Z17" s="375" t="str">
        <f>IF(ISNUMBER(Datos!CC17),Datos!CC17," - ")</f>
        <v xml:space="preserve"> - </v>
      </c>
      <c r="AA17" s="372">
        <f>IF(ISNUMBER(IF(D_I="SI",Datos!L17,Datos!L17+Datos!AF17)),IF(D_I="SI",Datos!L17,Datos!L17+Datos!AF17)," - ")</f>
        <v>370</v>
      </c>
      <c r="AB17" s="374">
        <f>IF(ISNUMBER(Datos!R17),Datos!R17," - ")</f>
        <v>47</v>
      </c>
      <c r="AC17" s="374">
        <f t="shared" si="8"/>
        <v>417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230</v>
      </c>
      <c r="AJ17" s="245" t="str">
        <f>IF(ISNUMBER(Datos!BW17),Datos!BW17," - ")</f>
        <v xml:space="preserve"> - </v>
      </c>
      <c r="AK17" s="246" t="str">
        <f>IF(ISNUMBER(Datos!BX17),Datos!BX17," - ")</f>
        <v xml:space="preserve"> - </v>
      </c>
      <c r="AL17" s="266">
        <f>IF(ISNUMBER(NºAsuntos!G17/NºAsuntos!E17),NºAsuntos!G17/NºAsuntos!E17," - ")</f>
        <v>0.90338164251207731</v>
      </c>
      <c r="AM17" s="284">
        <f>IF(ISNUMBER(((NºAsuntos!I17/NºAsuntos!G17)*11)/factor_trimestre),((NºAsuntos!I17/NºAsuntos!G17)*11)/factor_trimestre," - ")</f>
        <v>4.3529411764705888</v>
      </c>
      <c r="AN17" s="267">
        <f>IF(ISNUMBER('Resol  Asuntos'!D17/NºAsuntos!G17),'Resol  Asuntos'!D17/NºAsuntos!G17," - ")</f>
        <v>0.24598930481283424</v>
      </c>
      <c r="AO17" s="268">
        <f>IF(ISNUMBER((NºAsuntos!C17+NºAsuntos!E17)/NºAsuntos!G17),(NºAsuntos!C17+NºAsuntos!E17)/NºAsuntos!G17," - ")</f>
        <v>1.3935828877005347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121</v>
      </c>
      <c r="X18" s="240">
        <f>IF(ISNUMBER(Datos!Q18),Datos!Q18," - ")</f>
        <v>0</v>
      </c>
      <c r="Y18" s="374">
        <f t="shared" si="9"/>
        <v>121</v>
      </c>
      <c r="Z18" s="375" t="str">
        <f>IF(ISNUMBER(Datos!CC18),Datos!CC18," - ")</f>
        <v xml:space="preserve"> - </v>
      </c>
      <c r="AA18" s="372">
        <f>IF(ISNUMBER(Datos!L18),Datos!L18,"-")</f>
        <v>26</v>
      </c>
      <c r="AB18" s="374">
        <f>IF(ISNUMBER(Datos!R18),Datos!R18," - ")</f>
        <v>1</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0.97580645161290325</v>
      </c>
      <c r="AM18" s="284">
        <f>IF(ISNUMBER(((NºAsuntos!I18/NºAsuntos!G18)*11)/factor_trimestre),((NºAsuntos!I18/NºAsuntos!G18)*11)/factor_trimestre," - ")</f>
        <v>2.3636363636363638</v>
      </c>
      <c r="AN18" s="267">
        <f>IF(ISNUMBER('Resol  Asuntos'!D18/NºAsuntos!G18),'Resol  Asuntos'!D18/NºAsuntos!G18," - ")</f>
        <v>0.1487603305785124</v>
      </c>
      <c r="AO18" s="268">
        <f>IF(ISNUMBER((NºAsuntos!C18+NºAsuntos!E18)/NºAsuntos!G18),(NºAsuntos!C18+NºAsuntos!E18)/NºAsuntos!G18," - ")</f>
        <v>1.1983471074380165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270</v>
      </c>
      <c r="G23" s="1163">
        <f>SUBTOTAL(9,G16:G22)</f>
        <v>289</v>
      </c>
      <c r="H23" s="1162">
        <f t="shared" ref="H23:O23" si="13">SUBTOTAL(9,H15:H22)</f>
        <v>0</v>
      </c>
      <c r="I23" s="1164">
        <f t="shared" si="13"/>
        <v>0</v>
      </c>
      <c r="J23" s="1164">
        <f t="shared" si="13"/>
        <v>0</v>
      </c>
      <c r="K23" s="1164">
        <f t="shared" si="13"/>
        <v>0</v>
      </c>
      <c r="L23" s="1164">
        <f t="shared" si="13"/>
        <v>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1056</v>
      </c>
      <c r="X23" s="1164">
        <f t="shared" si="14"/>
        <v>42</v>
      </c>
      <c r="Y23" s="1165">
        <f t="shared" si="14"/>
        <v>1098</v>
      </c>
      <c r="Z23" s="1165">
        <f t="shared" si="14"/>
        <v>0</v>
      </c>
      <c r="AA23" s="1165">
        <f t="shared" si="14"/>
        <v>396</v>
      </c>
      <c r="AB23" s="1165">
        <f t="shared" si="14"/>
        <v>48</v>
      </c>
      <c r="AC23" s="1165">
        <f t="shared" si="14"/>
        <v>444</v>
      </c>
      <c r="AD23" s="1165">
        <f t="shared" si="14"/>
        <v>0</v>
      </c>
      <c r="AE23" s="1169">
        <f t="shared" si="14"/>
        <v>0</v>
      </c>
      <c r="AF23" s="1162">
        <f t="shared" si="14"/>
        <v>0</v>
      </c>
      <c r="AG23" s="1170">
        <f t="shared" si="14"/>
        <v>0</v>
      </c>
      <c r="AH23" s="1167">
        <f t="shared" si="14"/>
        <v>0</v>
      </c>
      <c r="AI23" s="1162">
        <f t="shared" si="14"/>
        <v>248</v>
      </c>
      <c r="AJ23" s="1164">
        <f t="shared" si="14"/>
        <v>0</v>
      </c>
      <c r="AK23" s="1167">
        <f t="shared" si="14"/>
        <v>0</v>
      </c>
      <c r="AL23" s="1171">
        <f>IF(ISNUMBER(NºAsuntos!G23/NºAsuntos!E23),NºAsuntos!G23/NºAsuntos!E23," - ")</f>
        <v>0.911130284728214</v>
      </c>
      <c r="AM23" s="1171">
        <f>IF(ISNUMBER(((NºAsuntos!I23/NºAsuntos!G23)*11)/factor_trimestre),((NºAsuntos!I23/NºAsuntos!G23)*11)/factor_trimestre," - ")</f>
        <v>4.125</v>
      </c>
      <c r="AN23" s="1172">
        <f>IF(ISNUMBER('Resol  Asuntos'!D23/NºAsuntos!G23),'Resol  Asuntos'!D23/NºAsuntos!G23," - ")</f>
        <v>0.23484848484848486</v>
      </c>
      <c r="AO23" s="1173">
        <f>IF(ISNUMBER((NºAsuntos!C23+NºAsuntos!E23)/NºAsuntos!G23),(NºAsuntos!C23+NºAsuntos!E23)/NºAsuntos!G23," - ")</f>
        <v>1.3712121212121211</v>
      </c>
      <c r="AP23" s="1174" t="str">
        <f t="shared" si="2"/>
        <v xml:space="preserve"> - </v>
      </c>
      <c r="AQ23" s="1174">
        <f>IF(ISNUMBER((H23-W23+K23)/(F23)),(H23-W23+K23)/(F23)," - ")</f>
        <v>-3.911111111111111</v>
      </c>
      <c r="AR23" s="1175">
        <f>IF(ISNUMBER((Datos!P23-Datos!Q23)/(Datos!R23-Datos!P23+Datos!Q23)),(Datos!P23-Datos!Q23)/(Datos!R23-Datos!P23+Datos!Q23)," - ")</f>
        <v>-0.1111111111111111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284</v>
      </c>
      <c r="G31" s="1118">
        <f t="shared" si="20"/>
        <v>303</v>
      </c>
      <c r="H31" s="1117">
        <f t="shared" si="20"/>
        <v>0</v>
      </c>
      <c r="I31" s="1119">
        <f t="shared" si="20"/>
        <v>0</v>
      </c>
      <c r="J31" s="1119">
        <f t="shared" si="20"/>
        <v>0</v>
      </c>
      <c r="K31" s="1180">
        <f t="shared" si="20"/>
        <v>0</v>
      </c>
      <c r="L31" s="1119">
        <f t="shared" si="20"/>
        <v>352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1068</v>
      </c>
      <c r="X31" s="1118">
        <f t="shared" si="21"/>
        <v>625</v>
      </c>
      <c r="Y31" s="1125">
        <f t="shared" si="21"/>
        <v>1693</v>
      </c>
      <c r="Z31" s="1125">
        <f t="shared" si="21"/>
        <v>0</v>
      </c>
      <c r="AA31" s="1125">
        <f t="shared" si="21"/>
        <v>406</v>
      </c>
      <c r="AB31" s="1125">
        <f t="shared" si="21"/>
        <v>1382</v>
      </c>
      <c r="AC31" s="1125">
        <f t="shared" si="21"/>
        <v>456</v>
      </c>
      <c r="AD31" s="1125">
        <f t="shared" si="21"/>
        <v>0</v>
      </c>
      <c r="AE31" s="1127">
        <f t="shared" si="21"/>
        <v>0</v>
      </c>
      <c r="AF31" s="1128">
        <f t="shared" si="21"/>
        <v>0</v>
      </c>
      <c r="AG31" s="1129">
        <f t="shared" si="21"/>
        <v>0</v>
      </c>
      <c r="AH31" s="1127">
        <f t="shared" si="21"/>
        <v>0</v>
      </c>
      <c r="AI31" s="1117">
        <f t="shared" si="21"/>
        <v>624</v>
      </c>
      <c r="AJ31" s="1117">
        <f t="shared" si="21"/>
        <v>0</v>
      </c>
      <c r="AK31" s="1127">
        <f t="shared" si="21"/>
        <v>0</v>
      </c>
      <c r="AL31" s="1183">
        <f>IF(ISNUMBER(NºAsuntos!G31/NºAsuntos!E31),NºAsuntos!G31/NºAsuntos!E31," - ")</f>
        <v>0.88607142857142862</v>
      </c>
      <c r="AM31" s="1184">
        <f>IF(ISNUMBER(((NºAsuntos!I31/NºAsuntos!G31)*11)/factor_trimestre),((NºAsuntos!I31/NºAsuntos!G31)*11)/factor_trimestre," - ")</f>
        <v>6.5840386940749696</v>
      </c>
      <c r="AN31" s="1184">
        <f>IF(ISNUMBER('Resol  Asuntos'!D31/NºAsuntos!G31),'Resol  Asuntos'!D31/NºAsuntos!G31," - ")</f>
        <v>0.25151148730350664</v>
      </c>
      <c r="AO31" s="1185">
        <f>IF(ISNUMBER((NºAsuntos!C31+NºAsuntos!E31)/NºAsuntos!G31),(NºAsuntos!C31+NºAsuntos!E31)/NºAsuntos!G31," - ")</f>
        <v>1.5969367190648931</v>
      </c>
      <c r="AP31" s="1186" t="str">
        <f t="shared" si="2"/>
        <v xml:space="preserve"> - </v>
      </c>
      <c r="AQ31" s="1187">
        <f>IF(OR(ISNUMBER(FIND("01",Criterios!A8,1)),ISNUMBER(FIND("02",Criterios!A8,1)),ISNUMBER(FIND("03",Criterios!A8,1)),ISNUMBER(FIND("04",Criterios!A8,1))),(I31-W31+K31)/(F31-K31),(H31-W31+K31)/(F31-K31))</f>
        <v>-3.76056338028169</v>
      </c>
      <c r="AR31" s="1188">
        <f>IF(ISNUMBER((Datos!P31-Datos!Q31)/(Datos!R31-Datos!P31+Datos!Q31)),(Datos!P31-Datos!Q31)/(Datos!R31-Datos!P31+Datos!Q31)," - ")</f>
        <v>-0.16495468277945619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135.9568559016671</v>
      </c>
      <c r="G33" s="277">
        <f>IF(ISNUMBER(STDEV(G8:G30)),STDEV(G8:G30),"-")</f>
        <v>131.47605249988447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474.78150363138224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168.95307886257314</v>
      </c>
      <c r="AJ33" s="276">
        <f t="shared" si="25"/>
        <v>0</v>
      </c>
      <c r="AK33" s="278">
        <f t="shared" si="25"/>
        <v>0</v>
      </c>
      <c r="AL33" s="273">
        <f t="shared" si="25"/>
        <v>0.24625110410668144</v>
      </c>
      <c r="AM33" s="274">
        <f t="shared" si="25"/>
        <v>2.8607158579202308</v>
      </c>
      <c r="AN33" s="274">
        <f t="shared" si="25"/>
        <v>5.9651114963557079E-2</v>
      </c>
      <c r="AO33" s="275">
        <f t="shared" si="25"/>
        <v>0.26525143135570306</v>
      </c>
      <c r="AP33" s="317" t="str">
        <f t="shared" si="25"/>
        <v>-</v>
      </c>
      <c r="AQ33" s="318">
        <f t="shared" si="25"/>
        <v>2.1594816619093931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vySZkCDgmqWZ3WuRDnP8FT3XhdqqPaFXrbQ1ySACAM6B+IcEIBYH20fnuTgiCGcvF4PO/glFxEEFgrhdIKlfUA==" saltValue="7By5x/7vTft88YTijXdK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MARIN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-0.38461538461538464</v>
      </c>
      <c r="F10" s="393">
        <f>IF(ISNUMBER((Datos!K10-Datos!U10)/Datos!U10),(Datos!K10-Datos!U10)/Datos!U10," - ")</f>
        <v>-7.6923076923076927E-2</v>
      </c>
      <c r="G10" s="394">
        <f>IF(ISNUMBER((Datos!L10-Datos!V10)/Datos!V10),(Datos!L10-Datos!V10)/Datos!V10," - ")</f>
        <v>-0.2857142857142857</v>
      </c>
      <c r="H10" s="244">
        <f>IF(ISNUMBER((Datos!M10-Datos!W10)/Datos!W10),(Datos!M10-Datos!W10)/Datos!W10," - ")</f>
        <v>-0.5</v>
      </c>
      <c r="I10" s="395">
        <f>IF(ISNUMBER((Tasas!C10-Datos!BE10)/Datos!BE10),(Tasas!C10-Datos!BE10)/Datos!BE10," - ")</f>
        <v>-0.22619047619047611</v>
      </c>
      <c r="J10" s="394">
        <f>IF(ISNUMBER((Tasas!D10-Datos!BF10)/Datos!BF10),(Tasas!D10-Datos!BF10)/Datos!BF10," - ")</f>
        <v>-0.45833333333333337</v>
      </c>
      <c r="K10" s="396">
        <f>IF(ISNUMBER((Tasas!E10-Datos!BG10)/Datos!BG10),(Tasas!E10-Datos!BG10)/Datos!BG10," - ")</f>
        <v>-0.11728395061728406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0.19614147909967847</v>
      </c>
      <c r="I12" s="395">
        <f>IF(ISNUMBER((Tasas!C12-Datos!BE12)/Datos!BE12),(Tasas!C12-Datos!BE12)/Datos!BE12," - ")</f>
        <v>0.25611175785797424</v>
      </c>
      <c r="J12" s="394">
        <f>IF(ISNUMBER((Tasas!D12-Datos!BF12)/Datos!BF12),(Tasas!D12-Datos!BF12)/Datos!BF12," - ")</f>
        <v>-0.29545454545454541</v>
      </c>
      <c r="K12" s="396">
        <f>IF(ISNUMBER((Tasas!E12-Datos!BG12)/Datos!BG12),(Tasas!E12-Datos!BG12)/Datos!BG12," - ")</f>
        <v>2.4249897246198061E-2</v>
      </c>
      <c r="M12" t="e">
        <f>IF(Monitorios="SI",Datos!CE12,0)</f>
        <v>#REF!</v>
      </c>
      <c r="N12" t="e">
        <f>IF(Monitorios="SI",Datos!CF12,0)</f>
        <v>#REF!</v>
      </c>
      <c r="O12" t="e">
        <f>IF(Monitorios="SI",Datos!CG12,0)</f>
        <v>#REF!</v>
      </c>
      <c r="P12" t="e">
        <f>IF(Monitorios="SI",Datos!CH12,0)</f>
        <v>#REF!</v>
      </c>
      <c r="Q12">
        <f>IF(J_V="SI",0,Datos!AG12)</f>
        <v>25</v>
      </c>
      <c r="R12">
        <f>IF(J_V="SI",0,Datos!AH12)</f>
        <v>126</v>
      </c>
      <c r="S12">
        <f>IF(J_V="SI",0,Datos!AI12)</f>
        <v>112</v>
      </c>
      <c r="T12">
        <f>IF(J_V="SI",0,Datos!AJ12)</f>
        <v>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0.17868338557993729</v>
      </c>
      <c r="I14" s="402">
        <f>IF(ISNUMBER((Tasas!C14-Datos!BE14)/Datos!BE14),(Tasas!C14-Datos!BE14)/Datos!BE14," - ")</f>
        <v>0.24829806474950258</v>
      </c>
      <c r="J14" s="400">
        <f>IF(ISNUMBER((Tasas!D14-Datos!BF14)/Datos!BF14),(Tasas!D14-Datos!BF14)/Datos!BF14," - ")</f>
        <v>-0.29801518722178577</v>
      </c>
      <c r="K14" s="403">
        <f>IF(ISNUMBER((Tasas!E14-Datos!BG14)/Datos!BG14),(Tasas!E14-Datos!BG14)/Datos!BG14," - ")</f>
        <v>2.2668378262730045E-2</v>
      </c>
      <c r="M14" t="e">
        <f>IF(Monitorios="SI",Datos!CE14,0)</f>
        <v>#REF!</v>
      </c>
      <c r="N14" t="e">
        <f>IF(Monitorios="SI",Datos!CF14,0)</f>
        <v>#REF!</v>
      </c>
      <c r="O14" t="e">
        <f>IF(Monitorios="SI",Datos!CG14,0)</f>
        <v>#REF!</v>
      </c>
      <c r="P14" t="e">
        <f>IF(Monitorios="SI",Datos!CH14,0)</f>
        <v>#REF!</v>
      </c>
      <c r="Q14">
        <f>IF(J_V="SI",0,Datos!AG14)</f>
        <v>25</v>
      </c>
      <c r="R14">
        <f>IF(J_V="SI",0,Datos!AH14)</f>
        <v>126</v>
      </c>
      <c r="S14">
        <f>IF(J_V="SI",0,Datos!AI14)</f>
        <v>112</v>
      </c>
      <c r="T14">
        <f>IF(J_V="SI",0,Datos!AJ14)</f>
        <v>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-0.27173913043478259</v>
      </c>
      <c r="E17" s="393">
        <f>IF(ISNUMBER(
   IF(D_I="SI",(Datos!J17-Datos!T17)/Datos!T17,(Datos!J17+Datos!AD17-(Datos!T17+Datos!AL17))/(Datos!T17+Datos!AL17))
     ),IF(D_I="SI",(Datos!J17-Datos!T17)/Datos!T17,(Datos!J17+Datos!AD17-(Datos!T17+Datos!AL17))/(Datos!T17+Datos!AL17))," - ")</f>
        <v>-8.6206896551724137E-3</v>
      </c>
      <c r="F17" s="393">
        <f>IF(ISNUMBER(
   IF(D_I="SI",(Datos!K17-Datos!U17)/Datos!U17,(Datos!K17+Datos!AE17-(Datos!U17+Datos!AM17))/(Datos!U17+Datos!AM17))
     ),IF(D_I="SI",(Datos!K17-Datos!U17)/Datos!U17,(Datos!K17+Datos!AE17-(Datos!U17+Datos!AM17))/(Datos!U17+Datos!AM17))," - ")</f>
        <v>-8.7804878048780483E-2</v>
      </c>
      <c r="G17" s="394">
        <f>IF(ISNUMBER(
   IF(D_I="SI",(Datos!L17-Datos!V17)/Datos!V17,(Datos!L17+Datos!AF17-(Datos!V17+Datos!AN17))/(Datos!V17+Datos!AN17))
     ),IF(D_I="SI",(Datos!L17-Datos!V17)/Datos!V17,(Datos!L17+Datos!AF17-(Datos!V17+Datos!AN17))/(Datos!V17+Datos!AN17))," - ")</f>
        <v>0.38059701492537312</v>
      </c>
      <c r="H17" s="244">
        <f>IF(ISNUMBER((Datos!M17-Datos!W17)/Datos!W17),(Datos!M17-Datos!W17)/Datos!W17," - ")</f>
        <v>0.10047846889952153</v>
      </c>
      <c r="I17" s="395">
        <f>IF(ISNUMBER((Tasas!C17-Datos!BE17)/Datos!BE17),(Tasas!C17-Datos!BE17)/Datos!BE17," - ")</f>
        <v>0.51348870620161235</v>
      </c>
      <c r="J17" s="394">
        <f>IF(ISNUMBER((Tasas!D17-Datos!BF17)/Datos!BF17),(Tasas!D17-Datos!BF17)/Datos!BF17," - ")</f>
        <v>0.20640687767059859</v>
      </c>
      <c r="K17" s="396">
        <f>IF(ISNUMBER((Tasas!E17-Datos!BG17)/Datos!BG17),(Tasas!E17-Datos!BG17)/Datos!BG17," - ")</f>
        <v>1.1630637318022816E-2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-0.65573770491803274</v>
      </c>
      <c r="E18" s="393">
        <f>IF(ISNUMBER(
   IF(D_I="SI",(Datos!J18-Datos!T18)/Datos!T18,(Datos!J18+Datos!AD18-(Datos!T18+Datos!AL18))/(Datos!T18+Datos!AL18))
     ),IF(D_I="SI",(Datos!J18-Datos!T18)/Datos!T18,(Datos!J18+Datos!AD18-(Datos!T18+Datos!AL18))/(Datos!T18+Datos!AL18))," - ")</f>
        <v>9.7345132743362831E-2</v>
      </c>
      <c r="F18" s="393">
        <f>IF(ISNUMBER(
   IF(D_I="SI",(Datos!K18-Datos!U18)/Datos!U18,(Datos!K18+Datos!AE18-(Datos!U18+Datos!AM18))/(Datos!U18+Datos!AM18))
     ),IF(D_I="SI",(Datos!K18-Datos!U18)/Datos!U18,(Datos!K18+Datos!AE18-(Datos!U18+Datos!AM18))/(Datos!U18+Datos!AM18))," - ")</f>
        <v>0.11009174311926606</v>
      </c>
      <c r="G18" s="394">
        <f>IF(ISNUMBER(
   IF(D_I="SI",(Datos!L18-Datos!V18)/Datos!V18,(Datos!L18+Datos!AF18-(Datos!V18+Datos!AN18))/(Datos!V18+Datos!AN18))
     ),IF(D_I="SI",(Datos!L18-Datos!V18)/Datos!V18,(Datos!L18+Datos!AF18-(Datos!V18+Datos!AN18))/(Datos!V18+Datos!AN18))," - ")</f>
        <v>0.23809523809523808</v>
      </c>
      <c r="H18" s="244">
        <f>IF(ISNUMBER((Datos!M18-Datos!W18)/Datos!W18),(Datos!M18-Datos!W18)/Datos!W18," - ")</f>
        <v>0</v>
      </c>
      <c r="I18" s="395">
        <f>IF(ISNUMBER((Tasas!C18-Datos!BE18)/Datos!BE18),(Tasas!C18-Datos!BE18)/Datos!BE18," - ")</f>
        <v>0.11530893349075164</v>
      </c>
      <c r="J18" s="394">
        <f>IF(ISNUMBER((Tasas!D18-Datos!BF18)/Datos!BF18),(Tasas!D18-Datos!BF18)/Datos!BF18," - ")</f>
        <v>-9.9173553719008295E-2</v>
      </c>
      <c r="K18" s="396">
        <f>IF(ISNUMBER((Tasas!E18-Datos!BG18)/Datos!BG18),(Tasas!E18-Datos!BG18)/Datos!BG18," - ")</f>
        <v>-0.24931129476584021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-0.32634032634032634</v>
      </c>
      <c r="E23" s="399">
        <f>IF(ISNUMBER(
   IF(D_I="SI",(Datos!J23-Datos!T23)/Datos!T23,(Datos!J23+Datos!AD23-(Datos!T23+Datos!AL23))/(Datos!T23+Datos!AL23))
     ),IF(D_I="SI",(Datos!J23-Datos!T23)/Datos!T23,(Datos!J23+Datos!AD23-(Datos!T23+Datos!AL23))/(Datos!T23+Datos!AL23))," - ")</f>
        <v>1.7286084701815039E-3</v>
      </c>
      <c r="F23" s="399">
        <f>IF(ISNUMBER(
   IF(D_I="SI",(Datos!K23-Datos!U23)/Datos!U23,(Datos!K23+Datos!AE23-(Datos!U23+Datos!AM23))/(Datos!U23+Datos!AM23))
     ),IF(D_I="SI",(Datos!K23-Datos!U23)/Datos!U23,(Datos!K23+Datos!AE23-(Datos!U23+Datos!AM23))/(Datos!U23+Datos!AM23))," - ")</f>
        <v>-6.8783068783068779E-2</v>
      </c>
      <c r="G23" s="400">
        <f>IF(ISNUMBER(
   IF(D_I="SI",(Datos!L23-Datos!V23)/Datos!V23,(Datos!L23+Datos!AF23-(Datos!V23+Datos!AN23))/(Datos!V23+Datos!AN23))
     ),IF(D_I="SI",(Datos!L23-Datos!V23)/Datos!V23,(Datos!L23+Datos!AF23-(Datos!V23+Datos!AN23))/(Datos!V23+Datos!AN23))," - ")</f>
        <v>0.37024221453287198</v>
      </c>
      <c r="H23" s="401">
        <f>IF(ISNUMBER((Datos!M23-Datos!W23)/Datos!W23),(Datos!M23-Datos!W23)/Datos!W23," - ")</f>
        <v>9.2511013215859028E-2</v>
      </c>
      <c r="I23" s="402">
        <f>IF(ISNUMBER((Tasas!C23-Datos!BE23)/Datos!BE23),(Tasas!C23-Datos!BE23)/Datos!BE23," - ")</f>
        <v>0.47145328719723173</v>
      </c>
      <c r="J23" s="400">
        <f>IF(ISNUMBER((Tasas!D23-Datos!BF23)/Datos!BF23),(Tasas!D23-Datos!BF23)/Datos!BF23," - ")</f>
        <v>0.17320784941930328</v>
      </c>
      <c r="K23" s="403">
        <f>IF(ISNUMBER((Tasas!E23-Datos!BG23)/Datos!BG23),(Tasas!E23-Datos!BG23)/Datos!BG23," - ")</f>
        <v>-1.9574687607474633E-2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-0.13605947955390335</v>
      </c>
      <c r="E31" s="409">
        <f>IF(ISNUMBER(
   IF(J_V="SI",(Datos!J31-Datos!T31)/Datos!T31,(Datos!J31+Datos!Z31-(Datos!T31+Datos!AH31))/(Datos!T31+Datos!AH31))
     ),IF(J_V="SI",(Datos!J31-Datos!T31)/Datos!T31,(Datos!J31+Datos!Z31-(Datos!T31+Datos!AH31))/(Datos!T31+Datos!AH31))," - ")</f>
        <v>3.6653091447611995E-2</v>
      </c>
      <c r="F31" s="409">
        <f>IF(ISNUMBER(
   IF(J_V="SI",(Datos!K31-Datos!U31)/Datos!U31,(Datos!K31+Datos!AA31-(Datos!U31+Datos!AI31))/(Datos!U31+Datos!AI31))
     ),IF(J_V="SI",(Datos!K31-Datos!U31)/Datos!U31,(Datos!K31+Datos!AA31-(Datos!U31+Datos!AI31))/(Datos!U31+Datos!AI31))," - ")</f>
        <v>-3.0859375000000001E-2</v>
      </c>
      <c r="G31" s="410">
        <f>IF(ISNUMBER(
   IF(J_V="SI",(Datos!L31-Datos!V31)/Datos!V31,(Datos!L31+Datos!AB31-(Datos!V31+Datos!AJ31))/(Datos!V31+Datos!AJ31))
     ),IF(J_V="SI",(Datos!L31-Datos!V31)/Datos!V31,(Datos!L31+Datos!AB31-(Datos!V31+Datos!AJ31))/(Datos!V31+Datos!AJ31))," - ")</f>
        <v>0.27796901893287435</v>
      </c>
      <c r="H31" s="411">
        <f>IF(ISNUMBER((Datos!M31-Datos!W31)/Datos!W31),(Datos!M31-Datos!W31)/Datos!W31," - ")</f>
        <v>0.14285714285714285</v>
      </c>
      <c r="I31" s="408">
        <f>IF(ISNUMBER((Tasas!C31-Datos!BE31)/Datos!BE31),(Tasas!C31-Datos!BE31)/Datos!BE31," - ")</f>
        <v>0.31866210740353001</v>
      </c>
      <c r="J31" s="409">
        <f>IF(ISNUMBER((Tasas!D31-Datos!BF31)/Datos!BF31),(Tasas!D31-Datos!BF31)/Datos!BF31," - ")</f>
        <v>-0.15613445937486628</v>
      </c>
      <c r="K31" s="410">
        <f>IF(ISNUMBER((Tasas!E31-Datos!BG31)/Datos!BG31),(Tasas!E31-Datos!BG31)/Datos!BG31," - ")</f>
        <v>1.0419673951093944E-2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0.26914539597119247</v>
      </c>
      <c r="E33" s="303">
        <f t="shared" si="1"/>
        <v>0.21279842087575976</v>
      </c>
      <c r="F33" s="303">
        <f t="shared" si="1"/>
        <v>9.4286936384940942E-2</v>
      </c>
      <c r="G33" s="304">
        <f t="shared" si="1"/>
        <v>0.3144443377455296</v>
      </c>
      <c r="H33" s="310">
        <f t="shared" si="1"/>
        <v>0.26011035277837868</v>
      </c>
      <c r="I33" s="302">
        <f t="shared" si="1"/>
        <v>0.26868032336124631</v>
      </c>
      <c r="J33" s="303">
        <f t="shared" si="1"/>
        <v>0.27182697013379564</v>
      </c>
      <c r="K33" s="304">
        <f t="shared" si="1"/>
        <v>0.1092178962474306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KO6YxEvSobGc7gz9bPWTfgvdsLdTuY8wiwbAQkjZB4cU6eFS4IGRgoaHJv0uOi5+UvTIOlHuCkcHUR6eB5+yQ==" saltValue="LIjLvG+QZHHhtp0TvXNGW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